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75" yWindow="900" windowWidth="10575" windowHeight="8055"/>
  </bookViews>
  <sheets>
    <sheet name="Коррек Куценко АА" sheetId="6" r:id="rId1"/>
  </sheets>
  <definedNames>
    <definedName name="_xlnm.Print_Titles" localSheetId="0">'Коррек Куценко АА'!$3:$4</definedName>
    <definedName name="_xlnm.Print_Area" localSheetId="0">'Коррек Куценко АА'!$A$1:$W$212</definedName>
  </definedNames>
  <calcPr calcId="145621"/>
</workbook>
</file>

<file path=xl/calcChain.xml><?xml version="1.0" encoding="utf-8"?>
<calcChain xmlns="http://schemas.openxmlformats.org/spreadsheetml/2006/main">
  <c r="U11" i="6" l="1"/>
  <c r="R11" i="6"/>
  <c r="O11" i="6"/>
  <c r="L11" i="6"/>
  <c r="I11" i="6"/>
  <c r="F11" i="6"/>
  <c r="C11" i="6"/>
  <c r="R204" i="6" l="1"/>
  <c r="O204" i="6"/>
  <c r="L204" i="6"/>
  <c r="Q207" i="6"/>
  <c r="T207" i="6"/>
  <c r="U207" i="6"/>
  <c r="V207" i="6" l="1"/>
  <c r="D82" i="6"/>
  <c r="E84" i="6"/>
  <c r="J10" i="6" l="1"/>
  <c r="S131" i="6" l="1"/>
  <c r="T131" i="6" s="1"/>
  <c r="Q131" i="6"/>
  <c r="P131" i="6"/>
  <c r="M131" i="6"/>
  <c r="N131" i="6" s="1"/>
  <c r="K131" i="6"/>
  <c r="J131" i="6"/>
  <c r="G131" i="6"/>
  <c r="U131" i="6" s="1"/>
  <c r="E131" i="6"/>
  <c r="U130" i="6"/>
  <c r="T130" i="6"/>
  <c r="Q130" i="6"/>
  <c r="N130" i="6"/>
  <c r="K130" i="6"/>
  <c r="H130" i="6"/>
  <c r="E130" i="6"/>
  <c r="V130" i="6" s="1"/>
  <c r="R129" i="6"/>
  <c r="T129" i="6" s="1"/>
  <c r="O129" i="6"/>
  <c r="Q129" i="6" s="1"/>
  <c r="L129" i="6"/>
  <c r="N129" i="6" s="1"/>
  <c r="J129" i="6"/>
  <c r="I129" i="6"/>
  <c r="F129" i="6"/>
  <c r="D129" i="6"/>
  <c r="C129" i="6"/>
  <c r="U128" i="6"/>
  <c r="T128" i="6"/>
  <c r="Q128" i="6"/>
  <c r="N128" i="6"/>
  <c r="K128" i="6"/>
  <c r="H128" i="6"/>
  <c r="E128" i="6"/>
  <c r="U127" i="6"/>
  <c r="T127" i="6"/>
  <c r="Q127" i="6"/>
  <c r="N127" i="6"/>
  <c r="K127" i="6"/>
  <c r="H127" i="6"/>
  <c r="E127" i="6"/>
  <c r="S126" i="6"/>
  <c r="R126" i="6"/>
  <c r="T126" i="6" s="1"/>
  <c r="P126" i="6"/>
  <c r="O126" i="6"/>
  <c r="Q126" i="6" s="1"/>
  <c r="M126" i="6"/>
  <c r="L126" i="6"/>
  <c r="N126" i="6" s="1"/>
  <c r="J126" i="6"/>
  <c r="I126" i="6"/>
  <c r="K126" i="6" s="1"/>
  <c r="G126" i="6"/>
  <c r="H126" i="6" s="1"/>
  <c r="F126" i="6"/>
  <c r="D126" i="6"/>
  <c r="C126" i="6"/>
  <c r="E126" i="6" s="1"/>
  <c r="T125" i="6"/>
  <c r="S125" i="6"/>
  <c r="P125" i="6"/>
  <c r="Q125" i="6" s="1"/>
  <c r="N125" i="6"/>
  <c r="M125" i="6"/>
  <c r="K125" i="6"/>
  <c r="H125" i="6"/>
  <c r="E125" i="6"/>
  <c r="T124" i="6"/>
  <c r="Q124" i="6"/>
  <c r="N124" i="6"/>
  <c r="J124" i="6"/>
  <c r="K124" i="6" s="1"/>
  <c r="G124" i="6"/>
  <c r="E124" i="6"/>
  <c r="U123" i="6"/>
  <c r="T123" i="6"/>
  <c r="Q123" i="6"/>
  <c r="N123" i="6"/>
  <c r="K123" i="6"/>
  <c r="H123" i="6"/>
  <c r="E123" i="6"/>
  <c r="S122" i="6"/>
  <c r="R122" i="6"/>
  <c r="P122" i="6"/>
  <c r="O122" i="6"/>
  <c r="Q122" i="6" s="1"/>
  <c r="M122" i="6"/>
  <c r="L122" i="6"/>
  <c r="N122" i="6" s="1"/>
  <c r="I122" i="6"/>
  <c r="F122" i="6"/>
  <c r="D122" i="6"/>
  <c r="C122" i="6"/>
  <c r="J52" i="6"/>
  <c r="G52" i="6"/>
  <c r="D52" i="6"/>
  <c r="T122" i="6" l="1"/>
  <c r="U126" i="6"/>
  <c r="E122" i="6"/>
  <c r="J122" i="6"/>
  <c r="U124" i="6"/>
  <c r="U125" i="6"/>
  <c r="V127" i="6"/>
  <c r="G129" i="6"/>
  <c r="U129" i="6" s="1"/>
  <c r="V125" i="6"/>
  <c r="E129" i="6"/>
  <c r="K129" i="6"/>
  <c r="V126" i="6"/>
  <c r="K122" i="6"/>
  <c r="H129" i="6"/>
  <c r="H131" i="6"/>
  <c r="V131" i="6" s="1"/>
  <c r="V128" i="6"/>
  <c r="V123" i="6"/>
  <c r="G122" i="6"/>
  <c r="H124" i="6"/>
  <c r="V124" i="6" s="1"/>
  <c r="R187" i="6"/>
  <c r="O187" i="6"/>
  <c r="L187" i="6"/>
  <c r="H122" i="6" l="1"/>
  <c r="V122" i="6" s="1"/>
  <c r="U122" i="6"/>
  <c r="V129" i="6"/>
  <c r="D60" i="6"/>
  <c r="L82" i="6"/>
  <c r="U107" i="6"/>
  <c r="G105" i="6"/>
  <c r="T108" i="6"/>
  <c r="T107" i="6"/>
  <c r="T106" i="6"/>
  <c r="T104" i="6"/>
  <c r="T103" i="6"/>
  <c r="T101" i="6"/>
  <c r="T100" i="6"/>
  <c r="T99" i="6"/>
  <c r="T97" i="6"/>
  <c r="T96" i="6"/>
  <c r="T91" i="6"/>
  <c r="Q108" i="6"/>
  <c r="Q107" i="6"/>
  <c r="Q106" i="6"/>
  <c r="Q104" i="6"/>
  <c r="Q103" i="6"/>
  <c r="Q101" i="6"/>
  <c r="Q100" i="6"/>
  <c r="Q99" i="6"/>
  <c r="Q97" i="6"/>
  <c r="Q96" i="6"/>
  <c r="Q91" i="6"/>
  <c r="N108" i="6"/>
  <c r="N107" i="6"/>
  <c r="N106" i="6"/>
  <c r="N104" i="6"/>
  <c r="N103" i="6"/>
  <c r="N101" i="6"/>
  <c r="N100" i="6"/>
  <c r="N99" i="6"/>
  <c r="N97" i="6"/>
  <c r="N96" i="6"/>
  <c r="N91" i="6"/>
  <c r="K108" i="6"/>
  <c r="K107" i="6"/>
  <c r="K106" i="6"/>
  <c r="K104" i="6"/>
  <c r="K103" i="6"/>
  <c r="K101" i="6"/>
  <c r="K100" i="6"/>
  <c r="K99" i="6"/>
  <c r="K97" i="6"/>
  <c r="K96" i="6"/>
  <c r="K91" i="6"/>
  <c r="H108" i="6"/>
  <c r="H107" i="6"/>
  <c r="H106" i="6"/>
  <c r="H104" i="6"/>
  <c r="H103" i="6"/>
  <c r="H101" i="6"/>
  <c r="H100" i="6"/>
  <c r="H99" i="6"/>
  <c r="H97" i="6"/>
  <c r="H96" i="6"/>
  <c r="H91" i="6"/>
  <c r="S105" i="6"/>
  <c r="R105" i="6"/>
  <c r="P105" i="6"/>
  <c r="O105" i="6"/>
  <c r="M105" i="6"/>
  <c r="L105" i="6"/>
  <c r="N105" i="6" s="1"/>
  <c r="J105" i="6"/>
  <c r="I105" i="6"/>
  <c r="F105" i="6"/>
  <c r="D105" i="6"/>
  <c r="C105" i="6"/>
  <c r="S98" i="6"/>
  <c r="R98" i="6"/>
  <c r="T98" i="6" s="1"/>
  <c r="P98" i="6"/>
  <c r="O98" i="6"/>
  <c r="M98" i="6"/>
  <c r="L98" i="6"/>
  <c r="N98" i="6" s="1"/>
  <c r="J98" i="6"/>
  <c r="I98" i="6"/>
  <c r="G98" i="6"/>
  <c r="F98" i="6"/>
  <c r="H98" i="6" s="1"/>
  <c r="D98" i="6"/>
  <c r="C98" i="6"/>
  <c r="O90" i="6"/>
  <c r="X91" i="6" s="1"/>
  <c r="L90" i="6" l="1"/>
  <c r="T105" i="6"/>
  <c r="V99" i="6"/>
  <c r="K98" i="6"/>
  <c r="Q98" i="6"/>
  <c r="K105" i="6"/>
  <c r="Q105" i="6"/>
  <c r="V96" i="6"/>
  <c r="V91" i="6"/>
  <c r="V97" i="6"/>
  <c r="V103" i="6"/>
  <c r="R90" i="6"/>
  <c r="I90" i="6"/>
  <c r="H105" i="6"/>
  <c r="E105" i="6"/>
  <c r="E108" i="6"/>
  <c r="V108" i="6" s="1"/>
  <c r="E107" i="6"/>
  <c r="V107" i="6" s="1"/>
  <c r="E104" i="6"/>
  <c r="V104" i="6" s="1"/>
  <c r="E101" i="6"/>
  <c r="V101" i="6" s="1"/>
  <c r="E100" i="6"/>
  <c r="V100" i="6" s="1"/>
  <c r="E98" i="6"/>
  <c r="V98" i="6" s="1"/>
  <c r="G95" i="6"/>
  <c r="F95" i="6"/>
  <c r="D95" i="6"/>
  <c r="C95" i="6"/>
  <c r="E95" i="6" s="1"/>
  <c r="D102" i="6"/>
  <c r="D90" i="6" s="1"/>
  <c r="T43" i="6"/>
  <c r="T42" i="6"/>
  <c r="T40" i="6"/>
  <c r="T39" i="6"/>
  <c r="T38" i="6"/>
  <c r="T36" i="6"/>
  <c r="T35" i="6"/>
  <c r="T33" i="6"/>
  <c r="T31" i="6"/>
  <c r="T29" i="6"/>
  <c r="T28" i="6"/>
  <c r="T27" i="6"/>
  <c r="T25" i="6"/>
  <c r="T24" i="6"/>
  <c r="T23" i="6"/>
  <c r="T22" i="6"/>
  <c r="T21" i="6"/>
  <c r="T20" i="6"/>
  <c r="T19" i="6"/>
  <c r="Q43" i="6"/>
  <c r="Q42" i="6"/>
  <c r="Q40" i="6"/>
  <c r="Q39" i="6"/>
  <c r="Q38" i="6"/>
  <c r="Q36" i="6"/>
  <c r="Q35" i="6"/>
  <c r="Q33" i="6"/>
  <c r="Q31" i="6"/>
  <c r="Q29" i="6"/>
  <c r="Q28" i="6"/>
  <c r="Q27" i="6"/>
  <c r="Q25" i="6"/>
  <c r="Q24" i="6"/>
  <c r="Q23" i="6"/>
  <c r="Q22" i="6"/>
  <c r="Q21" i="6"/>
  <c r="Q20" i="6"/>
  <c r="Q19" i="6"/>
  <c r="K42" i="6"/>
  <c r="K40" i="6"/>
  <c r="K39" i="6"/>
  <c r="K38" i="6"/>
  <c r="K36" i="6"/>
  <c r="K35" i="6"/>
  <c r="K33" i="6"/>
  <c r="K32" i="6"/>
  <c r="K31" i="6"/>
  <c r="K29" i="6"/>
  <c r="K28" i="6"/>
  <c r="K27" i="6"/>
  <c r="K26" i="6"/>
  <c r="K25" i="6"/>
  <c r="K24" i="6"/>
  <c r="K23" i="6"/>
  <c r="K22" i="6"/>
  <c r="K21" i="6"/>
  <c r="K20" i="6"/>
  <c r="K19" i="6"/>
  <c r="H42" i="6"/>
  <c r="H40" i="6"/>
  <c r="H39" i="6"/>
  <c r="H38" i="6"/>
  <c r="H36" i="6"/>
  <c r="H35" i="6"/>
  <c r="H33" i="6"/>
  <c r="H32" i="6"/>
  <c r="H31" i="6"/>
  <c r="H29" i="6"/>
  <c r="H28" i="6"/>
  <c r="H27" i="6"/>
  <c r="H26" i="6"/>
  <c r="H25" i="6"/>
  <c r="H24" i="6"/>
  <c r="H23" i="6"/>
  <c r="H22" i="6"/>
  <c r="H21" i="6"/>
  <c r="H19" i="6"/>
  <c r="E43" i="6"/>
  <c r="E42" i="6"/>
  <c r="E40" i="6"/>
  <c r="E39" i="6"/>
  <c r="E38" i="6"/>
  <c r="E36" i="6"/>
  <c r="E35" i="6"/>
  <c r="E33" i="6"/>
  <c r="E32" i="6"/>
  <c r="E31" i="6"/>
  <c r="E29" i="6"/>
  <c r="E28" i="6"/>
  <c r="E27" i="6"/>
  <c r="E25" i="6"/>
  <c r="E24" i="6"/>
  <c r="E23" i="6"/>
  <c r="E22" i="6"/>
  <c r="E21" i="6"/>
  <c r="E20" i="6"/>
  <c r="E19" i="6"/>
  <c r="K54" i="6"/>
  <c r="V105" i="6" l="1"/>
  <c r="H95" i="6"/>
  <c r="F90" i="6"/>
  <c r="J18" i="6"/>
  <c r="N23" i="6"/>
  <c r="S82" i="6"/>
  <c r="R82" i="6"/>
  <c r="P82" i="6"/>
  <c r="O82" i="6"/>
  <c r="M82" i="6"/>
  <c r="J82" i="6"/>
  <c r="I82" i="6"/>
  <c r="G82" i="6"/>
  <c r="F82" i="6"/>
  <c r="C82" i="6"/>
  <c r="D73" i="6"/>
  <c r="I18" i="6"/>
  <c r="J37" i="6"/>
  <c r="R66" i="6"/>
  <c r="O66" i="6"/>
  <c r="L66" i="6"/>
  <c r="I66" i="6"/>
  <c r="F66" i="6"/>
  <c r="C66" i="6"/>
  <c r="T11" i="6"/>
  <c r="Q11" i="6"/>
  <c r="N11" i="6"/>
  <c r="K11" i="6"/>
  <c r="H11" i="6"/>
  <c r="E11" i="6"/>
  <c r="J179" i="6"/>
  <c r="G179" i="6"/>
  <c r="F179" i="6"/>
  <c r="S167" i="6"/>
  <c r="R167" i="6"/>
  <c r="P167" i="6"/>
  <c r="O167" i="6"/>
  <c r="M167" i="6"/>
  <c r="L167" i="6"/>
  <c r="I167" i="6"/>
  <c r="F167" i="6"/>
  <c r="D167" i="6"/>
  <c r="C167" i="6"/>
  <c r="J151" i="6"/>
  <c r="G151" i="6"/>
  <c r="H153" i="6"/>
  <c r="K153" i="6"/>
  <c r="S34" i="6"/>
  <c r="R34" i="6"/>
  <c r="P34" i="6"/>
  <c r="O34" i="6"/>
  <c r="Q34" i="6" s="1"/>
  <c r="M34" i="6"/>
  <c r="L34" i="6"/>
  <c r="J34" i="6"/>
  <c r="I34" i="6"/>
  <c r="K34" i="6" s="1"/>
  <c r="G34" i="6"/>
  <c r="F34" i="6"/>
  <c r="H34" i="6" s="1"/>
  <c r="D34" i="6"/>
  <c r="C34" i="6"/>
  <c r="E34" i="6" s="1"/>
  <c r="C30" i="6"/>
  <c r="T34" i="6" l="1"/>
  <c r="V11" i="6"/>
  <c r="K18" i="6"/>
  <c r="V23" i="6"/>
  <c r="C78" i="6"/>
  <c r="F78" i="6"/>
  <c r="E68" i="6"/>
  <c r="C73" i="6"/>
  <c r="E73" i="6" s="1"/>
  <c r="H222" i="6"/>
  <c r="G222" i="6"/>
  <c r="F222" i="6"/>
  <c r="E222" i="6"/>
  <c r="D222" i="6"/>
  <c r="C222" i="6"/>
  <c r="U209" i="6"/>
  <c r="T209" i="6"/>
  <c r="Q209" i="6"/>
  <c r="N209" i="6"/>
  <c r="K209" i="6"/>
  <c r="H209" i="6"/>
  <c r="E209" i="6"/>
  <c r="U206" i="6"/>
  <c r="T206" i="6"/>
  <c r="Q206" i="6"/>
  <c r="N206" i="6"/>
  <c r="K206" i="6"/>
  <c r="H206" i="6"/>
  <c r="E206" i="6"/>
  <c r="U205" i="6"/>
  <c r="T205" i="6"/>
  <c r="Q205" i="6"/>
  <c r="N205" i="6"/>
  <c r="K205" i="6"/>
  <c r="H205" i="6"/>
  <c r="E205" i="6"/>
  <c r="S204" i="6"/>
  <c r="P204" i="6"/>
  <c r="M204" i="6"/>
  <c r="J204" i="6"/>
  <c r="I204" i="6"/>
  <c r="G204" i="6"/>
  <c r="F204" i="6"/>
  <c r="D204" i="6"/>
  <c r="C204" i="6"/>
  <c r="V202" i="6"/>
  <c r="U202" i="6"/>
  <c r="V201" i="6"/>
  <c r="U201" i="6"/>
  <c r="U200" i="6"/>
  <c r="T200" i="6"/>
  <c r="Q200" i="6"/>
  <c r="N200" i="6"/>
  <c r="K200" i="6"/>
  <c r="H200" i="6"/>
  <c r="E200" i="6"/>
  <c r="U198" i="6"/>
  <c r="T198" i="6"/>
  <c r="Q198" i="6"/>
  <c r="N198" i="6"/>
  <c r="K198" i="6"/>
  <c r="H198" i="6"/>
  <c r="E198" i="6"/>
  <c r="S197" i="6"/>
  <c r="R197" i="6"/>
  <c r="P197" i="6"/>
  <c r="O197" i="6"/>
  <c r="M197" i="6"/>
  <c r="L197" i="6"/>
  <c r="J197" i="6"/>
  <c r="I197" i="6"/>
  <c r="G197" i="6"/>
  <c r="F197" i="6"/>
  <c r="D197" i="6"/>
  <c r="C197" i="6"/>
  <c r="U195" i="6"/>
  <c r="T195" i="6"/>
  <c r="Q195" i="6"/>
  <c r="N195" i="6"/>
  <c r="K195" i="6"/>
  <c r="H195" i="6"/>
  <c r="E195" i="6"/>
  <c r="U194" i="6"/>
  <c r="T194" i="6"/>
  <c r="Q194" i="6"/>
  <c r="N194" i="6"/>
  <c r="K194" i="6"/>
  <c r="H194" i="6"/>
  <c r="E194" i="6"/>
  <c r="U193" i="6"/>
  <c r="T193" i="6"/>
  <c r="Q193" i="6"/>
  <c r="N193" i="6"/>
  <c r="K193" i="6"/>
  <c r="H193" i="6"/>
  <c r="E193" i="6"/>
  <c r="U192" i="6"/>
  <c r="T192" i="6"/>
  <c r="Q192" i="6"/>
  <c r="N192" i="6"/>
  <c r="K192" i="6"/>
  <c r="H192" i="6"/>
  <c r="E192" i="6"/>
  <c r="U191" i="6"/>
  <c r="T191" i="6"/>
  <c r="Q191" i="6"/>
  <c r="N191" i="6"/>
  <c r="K191" i="6"/>
  <c r="H191" i="6"/>
  <c r="E191" i="6"/>
  <c r="U190" i="6"/>
  <c r="T190" i="6"/>
  <c r="Q190" i="6"/>
  <c r="N190" i="6"/>
  <c r="K190" i="6"/>
  <c r="H190" i="6"/>
  <c r="E190" i="6"/>
  <c r="U189" i="6"/>
  <c r="T189" i="6"/>
  <c r="Q189" i="6"/>
  <c r="N189" i="6"/>
  <c r="K189" i="6"/>
  <c r="H189" i="6"/>
  <c r="E189" i="6"/>
  <c r="S188" i="6"/>
  <c r="S184" i="6" s="1"/>
  <c r="R188" i="6"/>
  <c r="P188" i="6"/>
  <c r="P184" i="6" s="1"/>
  <c r="O188" i="6"/>
  <c r="M188" i="6"/>
  <c r="M184" i="6" s="1"/>
  <c r="L188" i="6"/>
  <c r="J188" i="6"/>
  <c r="K188" i="6" s="1"/>
  <c r="G188" i="6"/>
  <c r="H188" i="6" s="1"/>
  <c r="D188" i="6"/>
  <c r="C188" i="6"/>
  <c r="U187" i="6"/>
  <c r="T187" i="6"/>
  <c r="N187" i="6"/>
  <c r="K187" i="6"/>
  <c r="H187" i="6"/>
  <c r="E187" i="6"/>
  <c r="T186" i="6"/>
  <c r="Q186" i="6"/>
  <c r="N186" i="6"/>
  <c r="J186" i="6"/>
  <c r="G186" i="6"/>
  <c r="D186" i="6"/>
  <c r="S185" i="6"/>
  <c r="R185" i="6"/>
  <c r="P185" i="6"/>
  <c r="O185" i="6"/>
  <c r="M185" i="6"/>
  <c r="L185" i="6"/>
  <c r="J185" i="6"/>
  <c r="I185" i="6"/>
  <c r="G185" i="6"/>
  <c r="F185" i="6"/>
  <c r="D185" i="6"/>
  <c r="C185" i="6"/>
  <c r="I184" i="6"/>
  <c r="F184" i="6"/>
  <c r="U181" i="6"/>
  <c r="T181" i="6"/>
  <c r="Q181" i="6"/>
  <c r="N181" i="6"/>
  <c r="K181" i="6"/>
  <c r="H181" i="6"/>
  <c r="E181" i="6"/>
  <c r="U180" i="6"/>
  <c r="T180" i="6"/>
  <c r="Q180" i="6"/>
  <c r="N180" i="6"/>
  <c r="K180" i="6"/>
  <c r="H180" i="6"/>
  <c r="E180" i="6"/>
  <c r="U179" i="6"/>
  <c r="R179" i="6"/>
  <c r="T179" i="6" s="1"/>
  <c r="O179" i="6"/>
  <c r="Q179" i="6" s="1"/>
  <c r="L179" i="6"/>
  <c r="N179" i="6" s="1"/>
  <c r="I179" i="6"/>
  <c r="K179" i="6" s="1"/>
  <c r="H179" i="6"/>
  <c r="C179" i="6"/>
  <c r="E179" i="6" s="1"/>
  <c r="U178" i="6"/>
  <c r="T178" i="6"/>
  <c r="Q178" i="6"/>
  <c r="N178" i="6"/>
  <c r="K178" i="6"/>
  <c r="H178" i="6"/>
  <c r="E178" i="6"/>
  <c r="U177" i="6"/>
  <c r="T177" i="6"/>
  <c r="Q177" i="6"/>
  <c r="N177" i="6"/>
  <c r="K177" i="6"/>
  <c r="H177" i="6"/>
  <c r="E177" i="6"/>
  <c r="S176" i="6"/>
  <c r="T176" i="6" s="1"/>
  <c r="P176" i="6"/>
  <c r="Q176" i="6" s="1"/>
  <c r="M176" i="6"/>
  <c r="M164" i="6" s="1"/>
  <c r="J176" i="6"/>
  <c r="K176" i="6" s="1"/>
  <c r="G176" i="6"/>
  <c r="H176" i="6" s="1"/>
  <c r="D176" i="6"/>
  <c r="D164" i="6" s="1"/>
  <c r="U175" i="6"/>
  <c r="T175" i="6"/>
  <c r="Q175" i="6"/>
  <c r="N175" i="6"/>
  <c r="K175" i="6"/>
  <c r="H175" i="6"/>
  <c r="E175" i="6"/>
  <c r="U174" i="6"/>
  <c r="T174" i="6"/>
  <c r="Q174" i="6"/>
  <c r="N174" i="6"/>
  <c r="K174" i="6"/>
  <c r="H174" i="6"/>
  <c r="E174" i="6"/>
  <c r="U173" i="6"/>
  <c r="T173" i="6"/>
  <c r="Q173" i="6"/>
  <c r="N173" i="6"/>
  <c r="K173" i="6"/>
  <c r="H173" i="6"/>
  <c r="E173" i="6"/>
  <c r="R172" i="6"/>
  <c r="T172" i="6" s="1"/>
  <c r="O172" i="6"/>
  <c r="O164" i="6" s="1"/>
  <c r="L172" i="6"/>
  <c r="L164" i="6" s="1"/>
  <c r="J172" i="6"/>
  <c r="I172" i="6"/>
  <c r="I164" i="6" s="1"/>
  <c r="G172" i="6"/>
  <c r="F172" i="6"/>
  <c r="F164" i="6" s="1"/>
  <c r="C172" i="6"/>
  <c r="T171" i="6"/>
  <c r="Q171" i="6"/>
  <c r="Q167" i="6" s="1"/>
  <c r="N171" i="6"/>
  <c r="N167" i="6" s="1"/>
  <c r="J171" i="6"/>
  <c r="G171" i="6"/>
  <c r="E171" i="6"/>
  <c r="E167" i="6" s="1"/>
  <c r="U168" i="6"/>
  <c r="T168" i="6"/>
  <c r="Q168" i="6"/>
  <c r="N168" i="6"/>
  <c r="K168" i="6"/>
  <c r="H168" i="6"/>
  <c r="E168" i="6"/>
  <c r="T167" i="6"/>
  <c r="U162" i="6"/>
  <c r="T162" i="6"/>
  <c r="Q162" i="6"/>
  <c r="N162" i="6"/>
  <c r="K162" i="6"/>
  <c r="H162" i="6"/>
  <c r="E162" i="6"/>
  <c r="U161" i="6"/>
  <c r="T161" i="6"/>
  <c r="Q161" i="6"/>
  <c r="N161" i="6"/>
  <c r="K161" i="6"/>
  <c r="H161" i="6"/>
  <c r="E161" i="6"/>
  <c r="U160" i="6"/>
  <c r="T160" i="6"/>
  <c r="Q160" i="6"/>
  <c r="N160" i="6"/>
  <c r="K160" i="6"/>
  <c r="H160" i="6"/>
  <c r="E160" i="6"/>
  <c r="U159" i="6"/>
  <c r="T159" i="6"/>
  <c r="Q159" i="6"/>
  <c r="N159" i="6"/>
  <c r="K159" i="6"/>
  <c r="H159" i="6"/>
  <c r="E159" i="6"/>
  <c r="J158" i="6"/>
  <c r="I158" i="6"/>
  <c r="G158" i="6"/>
  <c r="F158" i="6"/>
  <c r="D158" i="6"/>
  <c r="C158" i="6"/>
  <c r="U157" i="6"/>
  <c r="T157" i="6"/>
  <c r="Q157" i="6"/>
  <c r="N157" i="6"/>
  <c r="K157" i="6"/>
  <c r="H157" i="6"/>
  <c r="E157" i="6"/>
  <c r="U156" i="6"/>
  <c r="T156" i="6"/>
  <c r="Q156" i="6"/>
  <c r="N156" i="6"/>
  <c r="K156" i="6"/>
  <c r="H156" i="6"/>
  <c r="E156" i="6"/>
  <c r="S155" i="6"/>
  <c r="R155" i="6"/>
  <c r="P155" i="6"/>
  <c r="O155" i="6"/>
  <c r="M155" i="6"/>
  <c r="L155" i="6"/>
  <c r="J155" i="6"/>
  <c r="I155" i="6"/>
  <c r="G155" i="6"/>
  <c r="G150" i="6" s="1"/>
  <c r="F155" i="6"/>
  <c r="D155" i="6"/>
  <c r="C155" i="6"/>
  <c r="U154" i="6"/>
  <c r="T154" i="6"/>
  <c r="Q154" i="6"/>
  <c r="N154" i="6"/>
  <c r="K154" i="6"/>
  <c r="H154" i="6"/>
  <c r="E154" i="6"/>
  <c r="U153" i="6"/>
  <c r="T153" i="6"/>
  <c r="Q153" i="6"/>
  <c r="N153" i="6"/>
  <c r="E153" i="6"/>
  <c r="U152" i="6"/>
  <c r="T152" i="6"/>
  <c r="Q152" i="6"/>
  <c r="N152" i="6"/>
  <c r="K152" i="6"/>
  <c r="H152" i="6"/>
  <c r="E152" i="6"/>
  <c r="S151" i="6"/>
  <c r="R151" i="6"/>
  <c r="P151" i="6"/>
  <c r="O151" i="6"/>
  <c r="M151" i="6"/>
  <c r="L151" i="6"/>
  <c r="I151" i="6"/>
  <c r="F151" i="6"/>
  <c r="D151" i="6"/>
  <c r="C151" i="6"/>
  <c r="C150" i="6" s="1"/>
  <c r="T148" i="6"/>
  <c r="Q148" i="6"/>
  <c r="N148" i="6"/>
  <c r="K148" i="6"/>
  <c r="H148" i="6"/>
  <c r="D148" i="6"/>
  <c r="E148" i="6" s="1"/>
  <c r="V148" i="6" s="1"/>
  <c r="V147" i="6"/>
  <c r="U147" i="6"/>
  <c r="S146" i="6"/>
  <c r="R146" i="6"/>
  <c r="P146" i="6"/>
  <c r="O146" i="6"/>
  <c r="M146" i="6"/>
  <c r="L146" i="6"/>
  <c r="J146" i="6"/>
  <c r="I146" i="6"/>
  <c r="G146" i="6"/>
  <c r="F146" i="6"/>
  <c r="C146" i="6"/>
  <c r="V145" i="6"/>
  <c r="U145" i="6"/>
  <c r="T144" i="6"/>
  <c r="S144" i="6"/>
  <c r="P144" i="6"/>
  <c r="M144" i="6"/>
  <c r="N144" i="6" s="1"/>
  <c r="J144" i="6"/>
  <c r="G144" i="6"/>
  <c r="H144" i="6" s="1"/>
  <c r="D144" i="6"/>
  <c r="S143" i="6"/>
  <c r="P143" i="6"/>
  <c r="M143" i="6"/>
  <c r="I141" i="6"/>
  <c r="I140" i="6" s="1"/>
  <c r="U142" i="6"/>
  <c r="T142" i="6"/>
  <c r="Q142" i="6"/>
  <c r="N142" i="6"/>
  <c r="K142" i="6"/>
  <c r="H142" i="6"/>
  <c r="E142" i="6"/>
  <c r="C141" i="6"/>
  <c r="U138" i="6"/>
  <c r="T138" i="6"/>
  <c r="Q138" i="6"/>
  <c r="N138" i="6"/>
  <c r="K138" i="6"/>
  <c r="H138" i="6"/>
  <c r="E138" i="6"/>
  <c r="U137" i="6"/>
  <c r="T137" i="6"/>
  <c r="Q137" i="6"/>
  <c r="N137" i="6"/>
  <c r="K137" i="6"/>
  <c r="H137" i="6"/>
  <c r="E137" i="6"/>
  <c r="S135" i="6"/>
  <c r="R135" i="6"/>
  <c r="P135" i="6"/>
  <c r="O135" i="6"/>
  <c r="M135" i="6"/>
  <c r="L135" i="6"/>
  <c r="J135" i="6"/>
  <c r="I135" i="6"/>
  <c r="G135" i="6"/>
  <c r="F135" i="6"/>
  <c r="D135" i="6"/>
  <c r="C135" i="6"/>
  <c r="U134" i="6"/>
  <c r="T134" i="6"/>
  <c r="Q134" i="6"/>
  <c r="N134" i="6"/>
  <c r="K134" i="6"/>
  <c r="H134" i="6"/>
  <c r="E134" i="6"/>
  <c r="S132" i="6"/>
  <c r="R132" i="6"/>
  <c r="R121" i="6" s="1"/>
  <c r="P132" i="6"/>
  <c r="O132" i="6"/>
  <c r="M132" i="6"/>
  <c r="L132" i="6"/>
  <c r="J132" i="6"/>
  <c r="I132" i="6"/>
  <c r="I121" i="6" s="1"/>
  <c r="G132" i="6"/>
  <c r="F132" i="6"/>
  <c r="F121" i="6" s="1"/>
  <c r="D132" i="6"/>
  <c r="C132" i="6"/>
  <c r="C121" i="6" s="1"/>
  <c r="U119" i="6"/>
  <c r="T119" i="6"/>
  <c r="Q119" i="6"/>
  <c r="N119" i="6"/>
  <c r="K119" i="6"/>
  <c r="H119" i="6"/>
  <c r="E119" i="6"/>
  <c r="T118" i="6"/>
  <c r="Q118" i="6"/>
  <c r="N118" i="6"/>
  <c r="J118" i="6"/>
  <c r="G118" i="6"/>
  <c r="H118" i="6" s="1"/>
  <c r="E118" i="6"/>
  <c r="U117" i="6"/>
  <c r="T117" i="6"/>
  <c r="Q117" i="6"/>
  <c r="N117" i="6"/>
  <c r="K117" i="6"/>
  <c r="H117" i="6"/>
  <c r="E117" i="6"/>
  <c r="U116" i="6"/>
  <c r="T116" i="6"/>
  <c r="Q116" i="6"/>
  <c r="N116" i="6"/>
  <c r="K116" i="6"/>
  <c r="H116" i="6"/>
  <c r="E116" i="6"/>
  <c r="S115" i="6"/>
  <c r="S110" i="6" s="1"/>
  <c r="R115" i="6"/>
  <c r="P115" i="6"/>
  <c r="P110" i="6" s="1"/>
  <c r="O115" i="6"/>
  <c r="M115" i="6"/>
  <c r="M110" i="6" s="1"/>
  <c r="L115" i="6"/>
  <c r="J115" i="6"/>
  <c r="I115" i="6"/>
  <c r="G115" i="6"/>
  <c r="F115" i="6"/>
  <c r="D115" i="6"/>
  <c r="C115" i="6"/>
  <c r="I110" i="6"/>
  <c r="F110" i="6"/>
  <c r="D110" i="6"/>
  <c r="U108" i="6"/>
  <c r="U106" i="6"/>
  <c r="E106" i="6"/>
  <c r="V106" i="6" s="1"/>
  <c r="U104" i="6"/>
  <c r="U103" i="6"/>
  <c r="S102" i="6"/>
  <c r="T102" i="6" s="1"/>
  <c r="P102" i="6"/>
  <c r="Q102" i="6" s="1"/>
  <c r="M102" i="6"/>
  <c r="N102" i="6" s="1"/>
  <c r="J102" i="6"/>
  <c r="K102" i="6" s="1"/>
  <c r="G102" i="6"/>
  <c r="C102" i="6"/>
  <c r="U101" i="6"/>
  <c r="U99" i="6"/>
  <c r="U97" i="6"/>
  <c r="U96" i="6"/>
  <c r="S95" i="6"/>
  <c r="P95" i="6"/>
  <c r="M95" i="6"/>
  <c r="J95" i="6"/>
  <c r="U91" i="6"/>
  <c r="U88" i="6"/>
  <c r="T88" i="6"/>
  <c r="Q88" i="6"/>
  <c r="N88" i="6"/>
  <c r="K88" i="6"/>
  <c r="H88" i="6"/>
  <c r="E88" i="6"/>
  <c r="U87" i="6"/>
  <c r="T87" i="6"/>
  <c r="Q87" i="6"/>
  <c r="N87" i="6"/>
  <c r="K87" i="6"/>
  <c r="H87" i="6"/>
  <c r="E87" i="6"/>
  <c r="S86" i="6"/>
  <c r="R86" i="6"/>
  <c r="P86" i="6"/>
  <c r="O86" i="6"/>
  <c r="M86" i="6"/>
  <c r="L86" i="6"/>
  <c r="J86" i="6"/>
  <c r="I86" i="6"/>
  <c r="G86" i="6"/>
  <c r="F86" i="6"/>
  <c r="D86" i="6"/>
  <c r="C86" i="6"/>
  <c r="U85" i="6"/>
  <c r="T85" i="6"/>
  <c r="Q85" i="6"/>
  <c r="N85" i="6"/>
  <c r="K85" i="6"/>
  <c r="H85" i="6"/>
  <c r="E85" i="6"/>
  <c r="U84" i="6"/>
  <c r="T84" i="6"/>
  <c r="Q84" i="6"/>
  <c r="N84" i="6"/>
  <c r="K84" i="6"/>
  <c r="H84" i="6"/>
  <c r="U83" i="6"/>
  <c r="T83" i="6"/>
  <c r="Q83" i="6"/>
  <c r="N83" i="6"/>
  <c r="K83" i="6"/>
  <c r="H83" i="6"/>
  <c r="E83" i="6"/>
  <c r="T82" i="6"/>
  <c r="U80" i="6"/>
  <c r="T80" i="6"/>
  <c r="Q80" i="6"/>
  <c r="N80" i="6"/>
  <c r="K80" i="6"/>
  <c r="H80" i="6"/>
  <c r="H78" i="6" s="1"/>
  <c r="E80" i="6"/>
  <c r="U79" i="6"/>
  <c r="T79" i="6"/>
  <c r="Q79" i="6"/>
  <c r="N79" i="6"/>
  <c r="K79" i="6"/>
  <c r="H79" i="6"/>
  <c r="E79" i="6"/>
  <c r="S78" i="6"/>
  <c r="R78" i="6"/>
  <c r="P78" i="6"/>
  <c r="O78" i="6"/>
  <c r="M78" i="6"/>
  <c r="L78" i="6"/>
  <c r="J78" i="6"/>
  <c r="I78" i="6"/>
  <c r="G78" i="6"/>
  <c r="D78" i="6"/>
  <c r="U77" i="6"/>
  <c r="T77" i="6"/>
  <c r="Q77" i="6"/>
  <c r="N77" i="6"/>
  <c r="K77" i="6"/>
  <c r="H77" i="6"/>
  <c r="E77" i="6"/>
  <c r="U76" i="6"/>
  <c r="T76" i="6"/>
  <c r="Q76" i="6"/>
  <c r="N76" i="6"/>
  <c r="K76" i="6"/>
  <c r="H76" i="6"/>
  <c r="E76" i="6"/>
  <c r="U74" i="6"/>
  <c r="T74" i="6"/>
  <c r="Q74" i="6"/>
  <c r="N74" i="6"/>
  <c r="K74" i="6"/>
  <c r="H74" i="6"/>
  <c r="E74" i="6"/>
  <c r="S73" i="6"/>
  <c r="R73" i="6"/>
  <c r="P73" i="6"/>
  <c r="O73" i="6"/>
  <c r="M73" i="6"/>
  <c r="L73" i="6"/>
  <c r="J73" i="6"/>
  <c r="I73" i="6"/>
  <c r="G73" i="6"/>
  <c r="F73" i="6"/>
  <c r="T72" i="6"/>
  <c r="Q72" i="6"/>
  <c r="N72" i="6"/>
  <c r="K72" i="6"/>
  <c r="G72" i="6"/>
  <c r="U72" i="6" s="1"/>
  <c r="E72" i="6"/>
  <c r="U71" i="6"/>
  <c r="T71" i="6"/>
  <c r="Q71" i="6"/>
  <c r="N71" i="6"/>
  <c r="K71" i="6"/>
  <c r="H71" i="6"/>
  <c r="U70" i="6"/>
  <c r="T70" i="6"/>
  <c r="Q70" i="6"/>
  <c r="N70" i="6"/>
  <c r="K70" i="6"/>
  <c r="H70" i="6"/>
  <c r="E70" i="6"/>
  <c r="S69" i="6"/>
  <c r="S58" i="6" s="1"/>
  <c r="R69" i="6"/>
  <c r="R58" i="6" s="1"/>
  <c r="P69" i="6"/>
  <c r="P58" i="6" s="1"/>
  <c r="O69" i="6"/>
  <c r="M69" i="6"/>
  <c r="M58" i="6" s="1"/>
  <c r="L69" i="6"/>
  <c r="L58" i="6" s="1"/>
  <c r="J69" i="6"/>
  <c r="J58" i="6" s="1"/>
  <c r="I69" i="6"/>
  <c r="I58" i="6" s="1"/>
  <c r="F69" i="6"/>
  <c r="D69" i="6"/>
  <c r="C69" i="6"/>
  <c r="C58" i="6" s="1"/>
  <c r="U68" i="6"/>
  <c r="T68" i="6"/>
  <c r="Q68" i="6"/>
  <c r="N68" i="6"/>
  <c r="K68" i="6"/>
  <c r="H68" i="6"/>
  <c r="S66" i="6"/>
  <c r="T66" i="6" s="1"/>
  <c r="P66" i="6"/>
  <c r="Q66" i="6" s="1"/>
  <c r="M66" i="6"/>
  <c r="N66" i="6" s="1"/>
  <c r="J66" i="6"/>
  <c r="K66" i="6" s="1"/>
  <c r="G66" i="6"/>
  <c r="H66" i="6" s="1"/>
  <c r="D66" i="6"/>
  <c r="E66" i="6" s="1"/>
  <c r="T65" i="6"/>
  <c r="Q65" i="6"/>
  <c r="N65" i="6"/>
  <c r="J65" i="6"/>
  <c r="G65" i="6"/>
  <c r="H65" i="6" s="1"/>
  <c r="E65" i="6"/>
  <c r="U64" i="6"/>
  <c r="T64" i="6"/>
  <c r="Q64" i="6"/>
  <c r="N64" i="6"/>
  <c r="K64" i="6"/>
  <c r="H64" i="6"/>
  <c r="E64" i="6"/>
  <c r="S63" i="6"/>
  <c r="R63" i="6"/>
  <c r="P63" i="6"/>
  <c r="O63" i="6"/>
  <c r="M63" i="6"/>
  <c r="L63" i="6"/>
  <c r="I63" i="6"/>
  <c r="G63" i="6"/>
  <c r="F63" i="6"/>
  <c r="D63" i="6"/>
  <c r="C63" i="6"/>
  <c r="T62" i="6"/>
  <c r="Q62" i="6"/>
  <c r="N62" i="6"/>
  <c r="J62" i="6"/>
  <c r="U62" i="6" s="1"/>
  <c r="H62" i="6"/>
  <c r="E62" i="6"/>
  <c r="U61" i="6"/>
  <c r="T61" i="6"/>
  <c r="Q61" i="6"/>
  <c r="N61" i="6"/>
  <c r="K61" i="6"/>
  <c r="H61" i="6"/>
  <c r="E61" i="6"/>
  <c r="S60" i="6"/>
  <c r="R60" i="6"/>
  <c r="R57" i="6" s="1"/>
  <c r="P60" i="6"/>
  <c r="O60" i="6"/>
  <c r="M60" i="6"/>
  <c r="L60" i="6"/>
  <c r="L57" i="6" s="1"/>
  <c r="L56" i="6" s="1"/>
  <c r="I60" i="6"/>
  <c r="I57" i="6" s="1"/>
  <c r="G60" i="6"/>
  <c r="G57" i="6" s="1"/>
  <c r="F60" i="6"/>
  <c r="F57" i="6" s="1"/>
  <c r="C60" i="6"/>
  <c r="M57" i="6"/>
  <c r="U54" i="6"/>
  <c r="T54" i="6"/>
  <c r="Q54" i="6"/>
  <c r="H54" i="6"/>
  <c r="E54" i="6"/>
  <c r="T52" i="6"/>
  <c r="Q52" i="6"/>
  <c r="N52" i="6"/>
  <c r="K52" i="6"/>
  <c r="H52" i="6"/>
  <c r="D50" i="6"/>
  <c r="U51" i="6"/>
  <c r="T51" i="6"/>
  <c r="Q51" i="6"/>
  <c r="N51" i="6"/>
  <c r="K51" i="6"/>
  <c r="H51" i="6"/>
  <c r="E51" i="6"/>
  <c r="S50" i="6"/>
  <c r="R50" i="6"/>
  <c r="P50" i="6"/>
  <c r="O50" i="6"/>
  <c r="M50" i="6"/>
  <c r="L50" i="6"/>
  <c r="J50" i="6"/>
  <c r="I50" i="6"/>
  <c r="F50" i="6"/>
  <c r="C50" i="6"/>
  <c r="T49" i="6"/>
  <c r="Q49" i="6"/>
  <c r="N49" i="6"/>
  <c r="K49" i="6"/>
  <c r="H49" i="6"/>
  <c r="D49" i="6"/>
  <c r="U48" i="6"/>
  <c r="T48" i="6"/>
  <c r="Q48" i="6"/>
  <c r="N48" i="6"/>
  <c r="K48" i="6"/>
  <c r="H48" i="6"/>
  <c r="E48" i="6"/>
  <c r="U47" i="6"/>
  <c r="T47" i="6"/>
  <c r="Q47" i="6"/>
  <c r="N47" i="6"/>
  <c r="K47" i="6"/>
  <c r="H47" i="6"/>
  <c r="E47" i="6"/>
  <c r="S46" i="6"/>
  <c r="R46" i="6"/>
  <c r="P46" i="6"/>
  <c r="P45" i="6" s="1"/>
  <c r="O46" i="6"/>
  <c r="O45" i="6" s="1"/>
  <c r="M46" i="6"/>
  <c r="L46" i="6"/>
  <c r="J46" i="6"/>
  <c r="I46" i="6"/>
  <c r="G46" i="6"/>
  <c r="F46" i="6"/>
  <c r="C46" i="6"/>
  <c r="N43" i="6"/>
  <c r="J43" i="6"/>
  <c r="K43" i="6" s="1"/>
  <c r="G43" i="6"/>
  <c r="H43" i="6" s="1"/>
  <c r="U42" i="6"/>
  <c r="N42" i="6"/>
  <c r="S41" i="6"/>
  <c r="R41" i="6"/>
  <c r="P41" i="6"/>
  <c r="O41" i="6"/>
  <c r="M41" i="6"/>
  <c r="L41" i="6"/>
  <c r="I41" i="6"/>
  <c r="F41" i="6"/>
  <c r="D41" i="6"/>
  <c r="C41" i="6"/>
  <c r="N40" i="6"/>
  <c r="U39" i="6"/>
  <c r="N39" i="6"/>
  <c r="V39" i="6" s="1"/>
  <c r="U38" i="6"/>
  <c r="N38" i="6"/>
  <c r="S37" i="6"/>
  <c r="R37" i="6"/>
  <c r="P37" i="6"/>
  <c r="O37" i="6"/>
  <c r="M37" i="6"/>
  <c r="L37" i="6"/>
  <c r="I37" i="6"/>
  <c r="K37" i="6" s="1"/>
  <c r="F37" i="6"/>
  <c r="C37" i="6"/>
  <c r="U36" i="6"/>
  <c r="U35" i="6"/>
  <c r="N35" i="6"/>
  <c r="U33" i="6"/>
  <c r="N33" i="6"/>
  <c r="S32" i="6"/>
  <c r="T32" i="6" s="1"/>
  <c r="P32" i="6"/>
  <c r="Q32" i="6" s="1"/>
  <c r="M32" i="6"/>
  <c r="U31" i="6"/>
  <c r="N31" i="6"/>
  <c r="R30" i="6"/>
  <c r="O30" i="6"/>
  <c r="L30" i="6"/>
  <c r="J30" i="6"/>
  <c r="I30" i="6"/>
  <c r="G30" i="6"/>
  <c r="F30" i="6"/>
  <c r="D30" i="6"/>
  <c r="U29" i="6"/>
  <c r="N29" i="6"/>
  <c r="U28" i="6"/>
  <c r="N28" i="6"/>
  <c r="U27" i="6"/>
  <c r="N27" i="6"/>
  <c r="S26" i="6"/>
  <c r="R26" i="6"/>
  <c r="P26" i="6"/>
  <c r="O26" i="6"/>
  <c r="M26" i="6"/>
  <c r="L26" i="6"/>
  <c r="D26" i="6"/>
  <c r="U26" i="6" s="1"/>
  <c r="C26" i="6"/>
  <c r="U25" i="6"/>
  <c r="N25" i="6"/>
  <c r="V25" i="6" s="1"/>
  <c r="U24" i="6"/>
  <c r="N24" i="6"/>
  <c r="U23" i="6"/>
  <c r="N22" i="6"/>
  <c r="U21" i="6"/>
  <c r="N21" i="6"/>
  <c r="N20" i="6"/>
  <c r="G20" i="6"/>
  <c r="U19" i="6"/>
  <c r="N19" i="6"/>
  <c r="S18" i="6"/>
  <c r="R18" i="6"/>
  <c r="P18" i="6"/>
  <c r="O18" i="6"/>
  <c r="M18" i="6"/>
  <c r="L18" i="6"/>
  <c r="F18" i="6"/>
  <c r="D18" i="6"/>
  <c r="C18" i="6"/>
  <c r="L14" i="6"/>
  <c r="I14" i="6"/>
  <c r="S9" i="6"/>
  <c r="R9" i="6"/>
  <c r="P9" i="6"/>
  <c r="P10" i="6" s="1"/>
  <c r="O9" i="6"/>
  <c r="Q9" i="6" s="1"/>
  <c r="M9" i="6"/>
  <c r="L9" i="6"/>
  <c r="J9" i="6"/>
  <c r="I9" i="6"/>
  <c r="G9" i="6"/>
  <c r="F9" i="6"/>
  <c r="D9" i="6"/>
  <c r="C9" i="6"/>
  <c r="N132" i="6" l="1"/>
  <c r="L121" i="6"/>
  <c r="T121" i="6"/>
  <c r="E9" i="6"/>
  <c r="Q37" i="6"/>
  <c r="C57" i="6"/>
  <c r="C56" i="6" s="1"/>
  <c r="D57" i="6"/>
  <c r="G121" i="6"/>
  <c r="H121" i="6" s="1"/>
  <c r="M121" i="6"/>
  <c r="S121" i="6"/>
  <c r="R45" i="6"/>
  <c r="Q132" i="6"/>
  <c r="O121" i="6"/>
  <c r="J150" i="6"/>
  <c r="T9" i="6"/>
  <c r="T37" i="6"/>
  <c r="M45" i="6"/>
  <c r="N45" i="6" s="1"/>
  <c r="S45" i="6"/>
  <c r="O57" i="6"/>
  <c r="D121" i="6"/>
  <c r="J121" i="6"/>
  <c r="K121" i="6" s="1"/>
  <c r="P121" i="6"/>
  <c r="G141" i="6"/>
  <c r="G140" i="6" s="1"/>
  <c r="S141" i="6"/>
  <c r="S140" i="6" s="1"/>
  <c r="F45" i="6"/>
  <c r="J45" i="6"/>
  <c r="S57" i="6"/>
  <c r="K95" i="6"/>
  <c r="J90" i="6"/>
  <c r="K90" i="6" s="1"/>
  <c r="Q95" i="6"/>
  <c r="P90" i="6"/>
  <c r="Q90" i="6" s="1"/>
  <c r="E102" i="6"/>
  <c r="C90" i="6"/>
  <c r="E90" i="6" s="1"/>
  <c r="O110" i="6"/>
  <c r="H146" i="6"/>
  <c r="M183" i="6"/>
  <c r="P183" i="6"/>
  <c r="H9" i="6"/>
  <c r="V9" i="6" s="1"/>
  <c r="K9" i="6"/>
  <c r="Q18" i="6"/>
  <c r="T18" i="6"/>
  <c r="C45" i="6"/>
  <c r="I45" i="6"/>
  <c r="P57" i="6"/>
  <c r="P56" i="6" s="1"/>
  <c r="N95" i="6"/>
  <c r="M90" i="6"/>
  <c r="N90" i="6" s="1"/>
  <c r="T95" i="6"/>
  <c r="S90" i="6"/>
  <c r="T90" i="6" s="1"/>
  <c r="H102" i="6"/>
  <c r="G90" i="6"/>
  <c r="H90" i="6" s="1"/>
  <c r="L110" i="6"/>
  <c r="R110" i="6"/>
  <c r="E185" i="6"/>
  <c r="Q185" i="6"/>
  <c r="N9" i="6"/>
  <c r="O14" i="6"/>
  <c r="R14" i="6"/>
  <c r="Y43" i="6"/>
  <c r="E18" i="6"/>
  <c r="E26" i="6"/>
  <c r="Q26" i="6"/>
  <c r="T26" i="6"/>
  <c r="H30" i="6"/>
  <c r="K30" i="6"/>
  <c r="E41" i="6"/>
  <c r="Q41" i="6"/>
  <c r="T41" i="6"/>
  <c r="V43" i="6"/>
  <c r="K82" i="6"/>
  <c r="K151" i="6"/>
  <c r="I150" i="6"/>
  <c r="K150" i="6" s="1"/>
  <c r="H171" i="6"/>
  <c r="G167" i="6"/>
  <c r="G164" i="6" s="1"/>
  <c r="H164" i="6" s="1"/>
  <c r="E30" i="6"/>
  <c r="S164" i="6"/>
  <c r="C14" i="6"/>
  <c r="U20" i="6"/>
  <c r="H20" i="6"/>
  <c r="U171" i="6"/>
  <c r="J167" i="6"/>
  <c r="J164" i="6" s="1"/>
  <c r="E172" i="6"/>
  <c r="C164" i="6"/>
  <c r="E164" i="6" s="1"/>
  <c r="P164" i="6"/>
  <c r="R164" i="6"/>
  <c r="H73" i="6"/>
  <c r="C10" i="6"/>
  <c r="F14" i="6"/>
  <c r="T46" i="6"/>
  <c r="M10" i="6"/>
  <c r="G69" i="6"/>
  <c r="G58" i="6" s="1"/>
  <c r="G10" i="6" s="1"/>
  <c r="H72" i="6"/>
  <c r="V72" i="6" s="1"/>
  <c r="Q115" i="6"/>
  <c r="I183" i="6"/>
  <c r="U49" i="6"/>
  <c r="D46" i="6"/>
  <c r="D45" i="6" s="1"/>
  <c r="J110" i="6"/>
  <c r="N115" i="6"/>
  <c r="N164" i="6"/>
  <c r="D37" i="6"/>
  <c r="D14" i="6" s="1"/>
  <c r="K144" i="6"/>
  <c r="Q144" i="6"/>
  <c r="Q172" i="6"/>
  <c r="Q164" i="6"/>
  <c r="Q187" i="6"/>
  <c r="E78" i="6"/>
  <c r="K50" i="6"/>
  <c r="Q50" i="6"/>
  <c r="E63" i="6"/>
  <c r="Q69" i="6"/>
  <c r="Q58" i="6" s="1"/>
  <c r="H86" i="6"/>
  <c r="E115" i="6"/>
  <c r="V117" i="6"/>
  <c r="E121" i="6"/>
  <c r="N135" i="6"/>
  <c r="Q135" i="6"/>
  <c r="P150" i="6"/>
  <c r="E155" i="6"/>
  <c r="E158" i="6"/>
  <c r="F183" i="6"/>
  <c r="T188" i="6"/>
  <c r="Q151" i="6"/>
  <c r="T185" i="6"/>
  <c r="U40" i="6"/>
  <c r="V70" i="6"/>
  <c r="Q82" i="6"/>
  <c r="T86" i="6"/>
  <c r="J143" i="6"/>
  <c r="O184" i="6"/>
  <c r="O183" i="6" s="1"/>
  <c r="Q183" i="6" s="1"/>
  <c r="N197" i="6"/>
  <c r="V200" i="6"/>
  <c r="E204" i="6"/>
  <c r="F58" i="6"/>
  <c r="H82" i="6"/>
  <c r="N82" i="6"/>
  <c r="K86" i="6"/>
  <c r="E132" i="6"/>
  <c r="V134" i="6"/>
  <c r="E135" i="6"/>
  <c r="V138" i="6"/>
  <c r="O141" i="6"/>
  <c r="O140" i="6" s="1"/>
  <c r="H143" i="6"/>
  <c r="M141" i="6"/>
  <c r="M140" i="6" s="1"/>
  <c r="H151" i="6"/>
  <c r="T151" i="6"/>
  <c r="Q155" i="6"/>
  <c r="T158" i="6"/>
  <c r="V162" i="6"/>
  <c r="S183" i="6"/>
  <c r="H185" i="6"/>
  <c r="G184" i="6"/>
  <c r="G183" i="6" s="1"/>
  <c r="E188" i="6"/>
  <c r="K197" i="6"/>
  <c r="Q197" i="6"/>
  <c r="V198" i="6"/>
  <c r="H204" i="6"/>
  <c r="V21" i="6"/>
  <c r="V38" i="6"/>
  <c r="E82" i="6"/>
  <c r="Q143" i="6"/>
  <c r="H167" i="6"/>
  <c r="V35" i="6"/>
  <c r="H60" i="6"/>
  <c r="N78" i="6"/>
  <c r="T78" i="6"/>
  <c r="U144" i="6"/>
  <c r="U186" i="6"/>
  <c r="S10" i="6"/>
  <c r="K10" i="6"/>
  <c r="J41" i="6"/>
  <c r="K41" i="6" s="1"/>
  <c r="U43" i="6"/>
  <c r="G50" i="6"/>
  <c r="G45" i="6" s="1"/>
  <c r="I56" i="6"/>
  <c r="K69" i="6"/>
  <c r="U86" i="6"/>
  <c r="D141" i="6"/>
  <c r="T146" i="6"/>
  <c r="F150" i="6"/>
  <c r="V159" i="6"/>
  <c r="V175" i="6"/>
  <c r="V178" i="6"/>
  <c r="V195" i="6"/>
  <c r="E197" i="6"/>
  <c r="T204" i="6"/>
  <c r="V206" i="6"/>
  <c r="V24" i="6"/>
  <c r="N18" i="6"/>
  <c r="N37" i="6"/>
  <c r="V42" i="6"/>
  <c r="K46" i="6"/>
  <c r="Q46" i="6"/>
  <c r="Q45" i="6" s="1"/>
  <c r="E50" i="6"/>
  <c r="N60" i="6"/>
  <c r="T63" i="6"/>
  <c r="Q78" i="6"/>
  <c r="U82" i="6"/>
  <c r="K146" i="6"/>
  <c r="Q146" i="6"/>
  <c r="E151" i="6"/>
  <c r="T155" i="6"/>
  <c r="K172" i="6"/>
  <c r="V181" i="6"/>
  <c r="U188" i="6"/>
  <c r="V190" i="6"/>
  <c r="K204" i="6"/>
  <c r="Q204" i="6"/>
  <c r="V205" i="6"/>
  <c r="C140" i="6"/>
  <c r="J14" i="6"/>
  <c r="U22" i="6"/>
  <c r="N26" i="6"/>
  <c r="V29" i="6"/>
  <c r="N41" i="6"/>
  <c r="E46" i="6"/>
  <c r="Q184" i="6"/>
  <c r="V28" i="6"/>
  <c r="V61" i="6"/>
  <c r="T50" i="6"/>
  <c r="U52" i="6"/>
  <c r="E52" i="6"/>
  <c r="J63" i="6"/>
  <c r="K63" i="6" s="1"/>
  <c r="U65" i="6"/>
  <c r="K65" i="6"/>
  <c r="V65" i="6" s="1"/>
  <c r="U9" i="6"/>
  <c r="V19" i="6"/>
  <c r="V27" i="6"/>
  <c r="P30" i="6"/>
  <c r="N32" i="6"/>
  <c r="V32" i="6" s="1"/>
  <c r="M30" i="6"/>
  <c r="U46" i="6"/>
  <c r="E49" i="6"/>
  <c r="T60" i="6"/>
  <c r="N63" i="6"/>
  <c r="V31" i="6"/>
  <c r="U34" i="6"/>
  <c r="N34" i="6"/>
  <c r="V34" i="6" s="1"/>
  <c r="N46" i="6"/>
  <c r="V47" i="6"/>
  <c r="N50" i="6"/>
  <c r="K58" i="6"/>
  <c r="T58" i="6"/>
  <c r="E60" i="6"/>
  <c r="Q60" i="6"/>
  <c r="H63" i="6"/>
  <c r="Q63" i="6"/>
  <c r="V64" i="6"/>
  <c r="V68" i="6"/>
  <c r="U69" i="6"/>
  <c r="N69" i="6"/>
  <c r="V71" i="6"/>
  <c r="K78" i="6"/>
  <c r="U115" i="6"/>
  <c r="T115" i="6"/>
  <c r="U132" i="6"/>
  <c r="T132" i="6"/>
  <c r="U135" i="6"/>
  <c r="T135" i="6"/>
  <c r="V142" i="6"/>
  <c r="N146" i="6"/>
  <c r="U148" i="6"/>
  <c r="U151" i="6"/>
  <c r="V154" i="6"/>
  <c r="K155" i="6"/>
  <c r="K158" i="6"/>
  <c r="Q158" i="6"/>
  <c r="K164" i="6"/>
  <c r="H172" i="6"/>
  <c r="U176" i="6"/>
  <c r="K185" i="6"/>
  <c r="N188" i="6"/>
  <c r="Q188" i="6"/>
  <c r="V192" i="6"/>
  <c r="T197" i="6"/>
  <c r="U204" i="6"/>
  <c r="V209" i="6"/>
  <c r="V191" i="6"/>
  <c r="N58" i="6"/>
  <c r="U73" i="6"/>
  <c r="T73" i="6"/>
  <c r="V84" i="6"/>
  <c r="E86" i="6"/>
  <c r="U98" i="6"/>
  <c r="K115" i="6"/>
  <c r="V116" i="6"/>
  <c r="K132" i="6"/>
  <c r="K135" i="6"/>
  <c r="V137" i="6"/>
  <c r="D146" i="6"/>
  <c r="U146" i="6" s="1"/>
  <c r="D150" i="6"/>
  <c r="E150" i="6" s="1"/>
  <c r="V160" i="6"/>
  <c r="V161" i="6"/>
  <c r="K171" i="6"/>
  <c r="V171" i="6" s="1"/>
  <c r="V174" i="6"/>
  <c r="V177" i="6"/>
  <c r="V194" i="6"/>
  <c r="G37" i="6"/>
  <c r="H37" i="6" s="1"/>
  <c r="V48" i="6"/>
  <c r="V51" i="6"/>
  <c r="O58" i="6"/>
  <c r="U63" i="6"/>
  <c r="U66" i="6"/>
  <c r="E69" i="6"/>
  <c r="T69" i="6"/>
  <c r="K73" i="6"/>
  <c r="Q73" i="6"/>
  <c r="V74" i="6"/>
  <c r="Q86" i="6"/>
  <c r="N110" i="6"/>
  <c r="H115" i="6"/>
  <c r="U118" i="6"/>
  <c r="V119" i="6"/>
  <c r="H132" i="6"/>
  <c r="H135" i="6"/>
  <c r="E144" i="6"/>
  <c r="V144" i="6" s="1"/>
  <c r="S150" i="6"/>
  <c r="H155" i="6"/>
  <c r="U155" i="6"/>
  <c r="H158" i="6"/>
  <c r="U158" i="6"/>
  <c r="V168" i="6"/>
  <c r="U172" i="6"/>
  <c r="V173" i="6"/>
  <c r="V180" i="6"/>
  <c r="N185" i="6"/>
  <c r="J184" i="6"/>
  <c r="J183" i="6" s="1"/>
  <c r="V189" i="6"/>
  <c r="V193" i="6"/>
  <c r="H197" i="6"/>
  <c r="V197" i="6" s="1"/>
  <c r="N204" i="6"/>
  <c r="V66" i="6"/>
  <c r="V52" i="6"/>
  <c r="U32" i="6"/>
  <c r="V33" i="6"/>
  <c r="H46" i="6"/>
  <c r="N73" i="6"/>
  <c r="V76" i="6"/>
  <c r="V85" i="6"/>
  <c r="V87" i="6"/>
  <c r="G18" i="6"/>
  <c r="U18" i="6" s="1"/>
  <c r="V22" i="6"/>
  <c r="N36" i="6"/>
  <c r="V135" i="6"/>
  <c r="U78" i="6"/>
  <c r="V80" i="6"/>
  <c r="V83" i="6"/>
  <c r="S30" i="6"/>
  <c r="U30" i="6" s="1"/>
  <c r="G41" i="6"/>
  <c r="H41" i="6" s="1"/>
  <c r="D58" i="6"/>
  <c r="J60" i="6"/>
  <c r="J57" i="6" s="1"/>
  <c r="K62" i="6"/>
  <c r="V62" i="6" s="1"/>
  <c r="V77" i="6"/>
  <c r="V79" i="6"/>
  <c r="N86" i="6"/>
  <c r="V88" i="6"/>
  <c r="U95" i="6"/>
  <c r="C110" i="6"/>
  <c r="E110" i="6" s="1"/>
  <c r="G110" i="6"/>
  <c r="X111" i="6" s="1"/>
  <c r="L141" i="6"/>
  <c r="L140" i="6" s="1"/>
  <c r="R141" i="6"/>
  <c r="U143" i="6"/>
  <c r="E143" i="6"/>
  <c r="K143" i="6"/>
  <c r="E146" i="6"/>
  <c r="N151" i="6"/>
  <c r="V151" i="6" s="1"/>
  <c r="V152" i="6"/>
  <c r="N155" i="6"/>
  <c r="V155" i="6" s="1"/>
  <c r="V156" i="6"/>
  <c r="V179" i="6"/>
  <c r="H184" i="6"/>
  <c r="N158" i="6"/>
  <c r="V158" i="6" s="1"/>
  <c r="U102" i="6"/>
  <c r="U100" i="6"/>
  <c r="K118" i="6"/>
  <c r="E141" i="6"/>
  <c r="D140" i="6"/>
  <c r="F141" i="6"/>
  <c r="P141" i="6"/>
  <c r="N143" i="6"/>
  <c r="T143" i="6"/>
  <c r="M150" i="6"/>
  <c r="V153" i="6"/>
  <c r="V157" i="6"/>
  <c r="V187" i="6"/>
  <c r="L150" i="6"/>
  <c r="N172" i="6"/>
  <c r="E176" i="6"/>
  <c r="D184" i="6"/>
  <c r="L184" i="6"/>
  <c r="E186" i="6"/>
  <c r="K186" i="6"/>
  <c r="U185" i="6"/>
  <c r="U197" i="6"/>
  <c r="R150" i="6"/>
  <c r="N176" i="6"/>
  <c r="R184" i="6"/>
  <c r="H186" i="6"/>
  <c r="C184" i="6"/>
  <c r="L8" i="6" l="1"/>
  <c r="U58" i="6"/>
  <c r="D10" i="6"/>
  <c r="E45" i="6"/>
  <c r="Q121" i="6"/>
  <c r="T150" i="6"/>
  <c r="V172" i="6"/>
  <c r="N121" i="6"/>
  <c r="H57" i="6"/>
  <c r="E57" i="6"/>
  <c r="K45" i="6"/>
  <c r="E140" i="6"/>
  <c r="C8" i="6"/>
  <c r="C5" i="6" s="1"/>
  <c r="Q57" i="6"/>
  <c r="V90" i="6"/>
  <c r="N57" i="6"/>
  <c r="X89" i="6"/>
  <c r="U45" i="6"/>
  <c r="D56" i="6"/>
  <c r="E56" i="6" s="1"/>
  <c r="I8" i="6"/>
  <c r="V102" i="6"/>
  <c r="V95" i="6"/>
  <c r="T57" i="6"/>
  <c r="D8" i="6"/>
  <c r="E14" i="6"/>
  <c r="V115" i="6"/>
  <c r="X16" i="6"/>
  <c r="E37" i="6"/>
  <c r="V37" i="6" s="1"/>
  <c r="S14" i="6"/>
  <c r="S8" i="6" s="1"/>
  <c r="M14" i="6"/>
  <c r="M8" i="6" s="1"/>
  <c r="K14" i="6"/>
  <c r="Q30" i="6"/>
  <c r="X30" i="6"/>
  <c r="N10" i="6"/>
  <c r="G14" i="6"/>
  <c r="T10" i="6"/>
  <c r="X57" i="6"/>
  <c r="V41" i="6"/>
  <c r="T30" i="6"/>
  <c r="H18" i="6"/>
  <c r="V18" i="6" s="1"/>
  <c r="P14" i="6"/>
  <c r="O56" i="6"/>
  <c r="Q56" i="6" s="1"/>
  <c r="V82" i="6"/>
  <c r="S56" i="6"/>
  <c r="M56" i="6"/>
  <c r="V46" i="6"/>
  <c r="T45" i="6"/>
  <c r="T164" i="6"/>
  <c r="V164" i="6" s="1"/>
  <c r="V73" i="6"/>
  <c r="V204" i="6"/>
  <c r="V185" i="6"/>
  <c r="V132" i="6"/>
  <c r="V40" i="6"/>
  <c r="V146" i="6"/>
  <c r="K183" i="6"/>
  <c r="V188" i="6"/>
  <c r="H45" i="6"/>
  <c r="H183" i="6"/>
  <c r="H58" i="6"/>
  <c r="H69" i="6"/>
  <c r="V69" i="6" s="1"/>
  <c r="G56" i="6"/>
  <c r="U150" i="6"/>
  <c r="H150" i="6"/>
  <c r="F56" i="6"/>
  <c r="U164" i="6"/>
  <c r="V121" i="6"/>
  <c r="J141" i="6"/>
  <c r="U141" i="6" s="1"/>
  <c r="H10" i="6"/>
  <c r="U167" i="6"/>
  <c r="V63" i="6"/>
  <c r="V78" i="6"/>
  <c r="U50" i="6"/>
  <c r="H50" i="6"/>
  <c r="V50" i="6" s="1"/>
  <c r="N150" i="6"/>
  <c r="V86" i="6"/>
  <c r="K184" i="6"/>
  <c r="R56" i="6"/>
  <c r="K167" i="6"/>
  <c r="V167" i="6" s="1"/>
  <c r="V49" i="6"/>
  <c r="U37" i="6"/>
  <c r="X37" i="6" s="1"/>
  <c r="Q10" i="6"/>
  <c r="N30" i="6"/>
  <c r="K110" i="6"/>
  <c r="O150" i="6"/>
  <c r="Q150" i="6" s="1"/>
  <c r="V186" i="6"/>
  <c r="U105" i="6"/>
  <c r="U90" i="6" s="1"/>
  <c r="N56" i="6"/>
  <c r="V26" i="6"/>
  <c r="V118" i="6"/>
  <c r="V20" i="6"/>
  <c r="R183" i="6"/>
  <c r="T183" i="6" s="1"/>
  <c r="T184" i="6"/>
  <c r="N184" i="6"/>
  <c r="L183" i="6"/>
  <c r="N183" i="6" s="1"/>
  <c r="T110" i="6"/>
  <c r="R140" i="6"/>
  <c r="T140" i="6" s="1"/>
  <c r="T141" i="6"/>
  <c r="U41" i="6"/>
  <c r="X41" i="6" s="1"/>
  <c r="U184" i="6"/>
  <c r="D183" i="6"/>
  <c r="U183" i="6" s="1"/>
  <c r="Q141" i="6"/>
  <c r="P140" i="6"/>
  <c r="Q140" i="6" s="1"/>
  <c r="N141" i="6"/>
  <c r="U110" i="6"/>
  <c r="K60" i="6"/>
  <c r="K57" i="6" s="1"/>
  <c r="U121" i="6"/>
  <c r="U10" i="6"/>
  <c r="Z43" i="6"/>
  <c r="E58" i="6"/>
  <c r="C183" i="6"/>
  <c r="E183" i="6" s="1"/>
  <c r="E184" i="6"/>
  <c r="V176" i="6"/>
  <c r="H141" i="6"/>
  <c r="F140" i="6"/>
  <c r="H140" i="6" s="1"/>
  <c r="V143" i="6"/>
  <c r="Q110" i="6"/>
  <c r="U60" i="6"/>
  <c r="V36" i="6"/>
  <c r="O8" i="6" l="1"/>
  <c r="T56" i="6"/>
  <c r="H56" i="6"/>
  <c r="X110" i="6"/>
  <c r="E8" i="6"/>
  <c r="X90" i="6"/>
  <c r="X55" i="6" s="1"/>
  <c r="D5" i="6"/>
  <c r="R8" i="6"/>
  <c r="T8" i="6" s="1"/>
  <c r="P8" i="6"/>
  <c r="AN14" i="6" s="1"/>
  <c r="F8" i="6"/>
  <c r="N140" i="6"/>
  <c r="N8" i="6"/>
  <c r="U14" i="6"/>
  <c r="X15" i="6"/>
  <c r="V45" i="6"/>
  <c r="AM14" i="6"/>
  <c r="E10" i="6"/>
  <c r="V10" i="6" s="1"/>
  <c r="G8" i="6"/>
  <c r="N14" i="6"/>
  <c r="H110" i="6"/>
  <c r="V110" i="6" s="1"/>
  <c r="V150" i="6"/>
  <c r="K141" i="6"/>
  <c r="V141" i="6" s="1"/>
  <c r="J140" i="6"/>
  <c r="K140" i="6" s="1"/>
  <c r="V140" i="6" s="1"/>
  <c r="V30" i="6"/>
  <c r="V183" i="6"/>
  <c r="V184" i="6"/>
  <c r="Q14" i="6"/>
  <c r="AK14" i="6"/>
  <c r="M5" i="6"/>
  <c r="V60" i="6"/>
  <c r="H14" i="6"/>
  <c r="V58" i="6"/>
  <c r="J56" i="6"/>
  <c r="K56" i="6" s="1"/>
  <c r="U57" i="6"/>
  <c r="T14" i="6"/>
  <c r="AG14" i="6"/>
  <c r="I5" i="6"/>
  <c r="I7" i="6" s="1"/>
  <c r="AB14" i="6"/>
  <c r="E5" i="6" l="1"/>
  <c r="R5" i="6"/>
  <c r="Q8" i="6"/>
  <c r="Q5" i="6" s="1"/>
  <c r="AJ14" i="6"/>
  <c r="H8" i="6"/>
  <c r="H5" i="6" s="1"/>
  <c r="U56" i="6"/>
  <c r="V14" i="6"/>
  <c r="J8" i="6"/>
  <c r="K8" i="6" s="1"/>
  <c r="K5" i="6" s="1"/>
  <c r="X14" i="6"/>
  <c r="AP14" i="6"/>
  <c r="L5" i="6"/>
  <c r="P5" i="6"/>
  <c r="U140" i="6"/>
  <c r="U8" i="6" s="1"/>
  <c r="U5" i="6" s="1"/>
  <c r="O5" i="6"/>
  <c r="AO14" i="6"/>
  <c r="N5" i="6"/>
  <c r="AL14" i="6"/>
  <c r="F214" i="6"/>
  <c r="F219" i="6" s="1"/>
  <c r="S5" i="6"/>
  <c r="AQ14" i="6"/>
  <c r="AA14" i="6"/>
  <c r="F5" i="6"/>
  <c r="AD14" i="6"/>
  <c r="G5" i="6"/>
  <c r="AE14" i="6"/>
  <c r="V57" i="6"/>
  <c r="X56" i="6" s="1"/>
  <c r="C214" i="6"/>
  <c r="C219" i="6" s="1"/>
  <c r="H214" i="6"/>
  <c r="H219" i="6" s="1"/>
  <c r="AR14" i="6"/>
  <c r="T5" i="6"/>
  <c r="V56" i="6"/>
  <c r="V6" i="6" l="1"/>
  <c r="X2" i="6"/>
  <c r="X1" i="6" s="1"/>
  <c r="F7" i="6"/>
  <c r="AI14" i="6"/>
  <c r="J5" i="6"/>
  <c r="U6" i="6" s="1"/>
  <c r="E214" i="6"/>
  <c r="E219" i="6" s="1"/>
  <c r="AH14" i="6"/>
  <c r="G214" i="6"/>
  <c r="G219" i="6" s="1"/>
  <c r="V8" i="6"/>
  <c r="V5" i="6" s="1"/>
  <c r="AF14" i="6"/>
  <c r="D214" i="6"/>
  <c r="D219" i="6" s="1"/>
  <c r="AC14" i="6"/>
</calcChain>
</file>

<file path=xl/comments1.xml><?xml version="1.0" encoding="utf-8"?>
<comments xmlns="http://schemas.openxmlformats.org/spreadsheetml/2006/main">
  <authors>
    <author>Павлюченко Алексей Николаевич</author>
  </authors>
  <commentList>
    <comment ref="B119" authorId="0">
      <text>
        <r>
          <rPr>
            <b/>
            <sz val="9"/>
            <color indexed="81"/>
            <rFont val="Tahoma"/>
            <family val="2"/>
            <charset val="204"/>
          </rPr>
          <t>Павлюченко Алексей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Лосев М.В. Название поменял</t>
        </r>
      </text>
    </comment>
  </commentList>
</comments>
</file>

<file path=xl/sharedStrings.xml><?xml version="1.0" encoding="utf-8"?>
<sst xmlns="http://schemas.openxmlformats.org/spreadsheetml/2006/main" count="259" uniqueCount="182">
  <si>
    <t>Примечания</t>
  </si>
  <si>
    <t>Основное мероприятие "Развитие элитного семеноводства" (субсидирование части затрат на приобретение элитных семян) - всего</t>
  </si>
  <si>
    <t>в том числе:</t>
  </si>
  <si>
    <t>субсидирование части затрат на приобретение элитных семян - всего</t>
  </si>
  <si>
    <t>Основное мероприятие "Развитие садоводства, поддержка закладки и ухода за многолетними насаждениями и виноградниками" - всего</t>
  </si>
  <si>
    <t>субсидирование сельскохозяйственным товаропроизводителям части затрат на закладку и уход за виноградниками</t>
  </si>
  <si>
    <t>субсидирование сельскохозяйственным товаропроизводителям части затрат на раскорчевку выбывших из эксплуатации старых садов и рекультивацию раскорчеванных площадей</t>
  </si>
  <si>
    <t>Основное мероприятие "Поддержка экономически значимых программ субъектов Российской Федерации в области растениеводства" - всего</t>
  </si>
  <si>
    <t>Основное мероприятие "Поддержка сельхозтоваропроизводителей в районах Крайнего Севера и приравненных к ним местностях" - всего</t>
  </si>
  <si>
    <t>производство продукции растениеводства на низкопродуктивной пашне</t>
  </si>
  <si>
    <t>субсидирование части затрат на приобретение семян с учетом доставки</t>
  </si>
  <si>
    <t>Основное мероприятие "Государственная поддержка кредитования подотрасли растениеводства, переработки ее продукции, развития инфраструктуры и логистического обеспечения рынков продукции растениеводства" - всего</t>
  </si>
  <si>
    <t>субсидирование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</t>
  </si>
  <si>
    <t xml:space="preserve">Основное мероприятие "Управление рисками в подотраслях растениеводства" </t>
  </si>
  <si>
    <t>субсидии бюджетам субъектов Российской Федерации на возмещение части затрат сельскохозяйственных товаропроизводителей на уплату страховой премии</t>
  </si>
  <si>
    <t>Основное мероприятие "Регулирование рынков продукции растениеводства" - всего</t>
  </si>
  <si>
    <t>субсидии на проведение закупочных и товарных интервенций на рынках сельскохозяйственной продукции, а также залоговых операций</t>
  </si>
  <si>
    <t>мониторинг информации о товарных и потребительских свойствах зерна</t>
  </si>
  <si>
    <t xml:space="preserve">Основное мероприятие "Оказание несвязанной поддержки сельскохозяйственным товаропроизводителям в области растениеводства" </t>
  </si>
  <si>
    <t>субсидии из федерального бюджета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</si>
  <si>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финансирование мероприятий НИОКР</t>
  </si>
  <si>
    <t>Основное мероприятие "Поддержка племенного животноводства"</t>
  </si>
  <si>
    <t xml:space="preserve">Основное мероприятие "Развитие овцеводства и козоводства" </t>
  </si>
  <si>
    <t>субсидии на возмещение части затрат по наращиванию маточного поголовья овец и коз</t>
  </si>
  <si>
    <t>Основное мероприятие "Развитие северного оленеводства и табунного коневодства" - всего</t>
  </si>
  <si>
    <t>Основное мероприятие "Предупреждение распространения и ликвидация африканской чумы свиней на территории Российской Федерации" - всего</t>
  </si>
  <si>
    <t>капитальные вложения для реконструкции, строительства объектов госсобственности</t>
  </si>
  <si>
    <t>Основное мероприятие "Обеспечение проведения противоэпизоотических мероприятий в субъектах Российской Федерации"</t>
  </si>
  <si>
    <t>обеспечение проведения противоэпизоотических мероприятий</t>
  </si>
  <si>
    <t>Основное мероприятие "Поддержка экономически значимых программ субъектов Российской Федерации в области животноводства" - всего</t>
  </si>
  <si>
    <t>субсидии на поддержку экономически значимых региональных программ</t>
  </si>
  <si>
    <t>Основное мероприятие "Государственная поддержка кредитования подотрасли животноводства, переработки ее продукции, развития инфраструктуры и логистического обеспечения рынков продукции животноводства" - всего</t>
  </si>
  <si>
    <t>субсидирование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</si>
  <si>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>субсидирование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</t>
  </si>
  <si>
    <t>Основное мероприятие "Управление рисками в подотраслях животноводства" - всего</t>
  </si>
  <si>
    <t>компенсация части затрат по страховым платежам</t>
  </si>
  <si>
    <t>Подпрограмма "Развитие молочного скотоводства"</t>
  </si>
  <si>
    <t>субсидии на 1 килограмм реализованного и (или) отгруженного на собственную переработку молока</t>
  </si>
  <si>
    <t>субсидирование части процентной ставки по краткосрочным кредитам (займам) на развитие молочного скотоводства</t>
  </si>
  <si>
    <t>Подпрограмма "Развитие мясного скотоводства"</t>
  </si>
  <si>
    <t>Основное мероприятие "Развитие мясного скотоводства"</t>
  </si>
  <si>
    <t>Основное мероприятие "Развитие племенной базы мясного скотоводства" - всего</t>
  </si>
  <si>
    <t>субсидии на поддержку племенного крупного рогатого скота мясного направления</t>
  </si>
  <si>
    <t>Подпрограмма "Поддержка малых форм хозяйствования"</t>
  </si>
  <si>
    <t>гранты на создание и развитие крестьянских (фермерских) хозяйств, единовременная помощь на бытовое обустройство начинающих фермеров</t>
  </si>
  <si>
    <t>Основное мероприятие "Государственная поддержка кредитования малых форм хозяйствования" - всего</t>
  </si>
  <si>
    <t>субсидирование процентной ставки по долгосрочным, среднесрочным и краткосрочным кредитам, полученным малыми формами хозяйствования</t>
  </si>
  <si>
    <t>Основное мероприятие "Оформление земельных участков в собственность крестьянским (фермерским) хозяйствам" - всего</t>
  </si>
  <si>
    <t>возмещение части затрат крестьянских (фермерских) хозяйств, включая индивидуальных предпринимателей, при оформлении в собственность используемых ими земельных участков из земель сельскохозяйственного назначения</t>
  </si>
  <si>
    <t>Ведомственная целевая программа "Развитие семейных животноводческих ферм на базе крестьянских (фермерских) хозяйств на 2015-2017 годы и на период до 2020 года " - всего</t>
  </si>
  <si>
    <t>Подпрограмма "Техническая и технологическая модернизация, инновационное развитие"</t>
  </si>
  <si>
    <t>Основное мероприятие "Обновление парка сельскохозяйственной техники" - всего</t>
  </si>
  <si>
    <t>взнос в уставный капитал ОАО "Росагролизинг"</t>
  </si>
  <si>
    <t>субсидии сельскохозяйственным товаропроизводителям на возмещение части затрат в размере 35% на приобретение новой сельскохозяйственной техники и (или) технологического оборудования»;</t>
  </si>
  <si>
    <t>Основное мероприятие "Реализация перспективных инновационных проектов в агропромышленном комплексе" - всего</t>
  </si>
  <si>
    <t>субсидии бюджетам субъектов Российской Федерации на развитие производства и товаропроводящей инфраструктуры системы социального питания</t>
  </si>
  <si>
    <t>Основное мероприятие "Развитие биотехнологии" - всего</t>
  </si>
  <si>
    <t>субсидии бюджетам субъектов Российской Федерации на возмещение части затрат на уплату процентов по инвестиционным кредитам на строительство, реконструкцию и модернизацию биоэнергетических установок, объектов по производству биоэнергетической продукции</t>
  </si>
  <si>
    <t>Подпрограмма "Обеспечение реализации Государственной программы"</t>
  </si>
  <si>
    <t>Основное мероприятие "Совершенствование обеспечения реализацией Государственной программы"</t>
  </si>
  <si>
    <t>Основное мероприятие "Выполнение государственных услуг и работ в рамках реализации Государственной программы"</t>
  </si>
  <si>
    <t>Основные мероприятия: "Формирование государственных информационных ресурсов в сферах обеспечения продовольственной безопасности и управления агропромышленным комплексом России"</t>
  </si>
  <si>
    <t>"Формирование информационно-коммуникационной инфраструктуры для обеспечения функционирования государственных информационных ресурсов в сферах обеспечения продовольственной безопасности и управления агропромышленным комплексом России"</t>
  </si>
  <si>
    <t>"Формирование государственных информационных ресурсов в сфере обеспечения продовольственной безопасности"</t>
  </si>
  <si>
    <t>"Формирование государственных информационных ресурсов в сфере управления агропромышленным комплексом"</t>
  </si>
  <si>
    <t>"Обеспечение мониторинга земель сельскохозяйственного назначения и формирование государственных информационных ресурсов в этой сфере (в том числе мониторинг плодородия почв земель сельскохозяйственного назначения)"</t>
  </si>
  <si>
    <t>Основное мероприятие "Обеспечение функций в области ветеринарного и фитосанитарного надзора"</t>
  </si>
  <si>
    <t>Подпрограмма "Развитие финансово-кредитной системы АПК"</t>
  </si>
  <si>
    <t>Основное мероприятие «Докапитализация ОАО "Россельхозбанк"</t>
  </si>
  <si>
    <t>Подпрограмма "Развитие Калининградской области и субъектов Дальневосточного федерального округа"</t>
  </si>
  <si>
    <t>Ведомственная целевая программа "Развитие Калининградской области"</t>
  </si>
  <si>
    <t>Ведомственная целевая программа "Развитие субъектов Дальневосточного федерального округа"</t>
  </si>
  <si>
    <t>Федеральная целевая программа "Устойчивое развитие сельских территорий на 2014 - 2017 годы и на период до 2020 года"</t>
  </si>
  <si>
    <t>Федеральная целевая программа "Развитие мелиорации земель сельскохозяйственного назначения России на 2014 - 2020 годы"</t>
  </si>
  <si>
    <t>Основное мероприятие "Развитие производства овощей в защищенном грунте" - всего</t>
  </si>
  <si>
    <t>АЧС</t>
  </si>
  <si>
    <t>субсидии на поддержку племенного крупного рогатого скота молочного направления</t>
  </si>
  <si>
    <t>субсидирование части процентной ставки по инвестиционным кредитам (займам) на развитие на строительство и реконструкцию объектов для молочного скотоводства</t>
  </si>
  <si>
    <t>субсидии на возмещение части затрат на фасовку и упаковку продовольственной продукции</t>
  </si>
  <si>
    <t>Ведомственная целевая программа "О развитии сельскохозяйственной кооперации на 2014-2017 годы и на период до 2020 года"</t>
  </si>
  <si>
    <t>Основное мероприятие "Развитие рынка лизинга сельскохозяйственной техники и оборудования"</t>
  </si>
  <si>
    <t>Минсельхоз России</t>
  </si>
  <si>
    <t>Россельхознадзор</t>
  </si>
  <si>
    <r>
      <t>Ведомственная целевая программа "Поддержка начинающих фермеров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на 2015-2017 годы и на период до 2020 года" - всего</t>
    </r>
  </si>
  <si>
    <t>ВСЕГО</t>
  </si>
  <si>
    <t>2015 год</t>
  </si>
  <si>
    <t>2016 год</t>
  </si>
  <si>
    <t>2017 год</t>
  </si>
  <si>
    <t>ВСЕГО:</t>
  </si>
  <si>
    <t>ВСЕГО по подпрограмме:</t>
  </si>
  <si>
    <t xml:space="preserve">   реализация перспективных инновационных проектов в агропрышленном комплексе</t>
  </si>
  <si>
    <t>в том числе: Минсельхоз России</t>
  </si>
  <si>
    <t xml:space="preserve">                        Россельхознадзор</t>
  </si>
  <si>
    <t xml:space="preserve">                         Россельхознадзор</t>
  </si>
  <si>
    <t xml:space="preserve">                       Минкультуры России</t>
  </si>
  <si>
    <t>Минкультуры России</t>
  </si>
  <si>
    <t>По паспорту ГП*</t>
  </si>
  <si>
    <t>Основное мероприятие "Развитие молочного скотоводства"**</t>
  </si>
  <si>
    <t>Основное мероприятие "Развитие племенного молочного скотоводства"**</t>
  </si>
  <si>
    <t>Основное мероприятие "Государственная поддержка кредитования молочного скотоводства " - всего**</t>
  </si>
  <si>
    <t>2018 год</t>
  </si>
  <si>
    <t>2019 год</t>
  </si>
  <si>
    <t>2020 год</t>
  </si>
  <si>
    <t>с 2015-2020 годы</t>
  </si>
  <si>
    <t>№</t>
  </si>
  <si>
    <t>Итого :</t>
  </si>
  <si>
    <t>Возможная экономия</t>
  </si>
  <si>
    <t>млн. рублей</t>
  </si>
  <si>
    <t>Основное мероприятие "Развитие производства тонкорунной и полутонкорунной шерсти"</t>
  </si>
  <si>
    <t>Предложение Депживотноводство:</t>
  </si>
  <si>
    <t>Субсидии на 1 кг реализованного молока и (или) отгружено на собственную переработку молока</t>
  </si>
  <si>
    <t>Утилизация навоза крупного рогатого скота</t>
  </si>
  <si>
    <t>Проектное финансирование оборудования и техники для молочного скотоводства</t>
  </si>
  <si>
    <t>Субсидирование затрат на откорм молодняка крупного рогатого скота на убой</t>
  </si>
  <si>
    <t>по строительству оптово-распределительным и производственно-логистическим центрам</t>
  </si>
  <si>
    <t>Дополнительные предложение департаментов Минсельхоза России, млн. рублей</t>
  </si>
  <si>
    <t xml:space="preserve">Предложение Депагропрома: </t>
  </si>
  <si>
    <t>Предложение Депрастениеводства:</t>
  </si>
  <si>
    <t>на оказание несвязанной поддержки сельскохозяйственным товаропроизводителям в области растениеводства</t>
  </si>
  <si>
    <t xml:space="preserve">субсидирование части процентной ставки по краткосрочным кредитам (займам) привлеченных на проведение сезонных-полевых работ </t>
  </si>
  <si>
    <t>субсидирование сельскохозяйственным товаропроизводителям части затрат на закладку и уход за многолетними плодовыми и ягодными насаждениями</t>
  </si>
  <si>
    <t>Снято 2017-430,4; 2018-302; 2019 - 478,4;2020-345,1</t>
  </si>
  <si>
    <t>Снято 2015-1433,9; 2016-1433,9; 2017-1659,3; 2018-1737,4; 2019-1820,8; 2020-1901</t>
  </si>
  <si>
    <t>Снято 2017-117,9; 2018-123,3</t>
  </si>
  <si>
    <t>Удовлетворена потребность по сл. з № Вн-20/17847 от 22.08.2014 Депмелиорации. Прибавлено 2015-1600; 2016-1100;2017-1100; 2018-2250;2019-2200;2020-2200</t>
  </si>
  <si>
    <t>субсидии федеральным казенным предприятиям на финансовое обеспечение государственного заказа на поставку ветпрепаратов</t>
  </si>
  <si>
    <t xml:space="preserve">от 8 апреля 2014 г. № ДМ-П11-2368р  </t>
  </si>
  <si>
    <t>Снято 2015-8500; 2016-7971,8;2017-8737,9; 2018-8709,6;2019-9078,7;2020-9638,2</t>
  </si>
  <si>
    <t>Прибавлено 2015-2283,9; 2016-2283,9;2017-3704,4; 2018-3917,8;2019-4307,5;2020-5506,8</t>
  </si>
  <si>
    <t>субсидии лизинговым компаниям</t>
  </si>
  <si>
    <t>ОБЩАЯ ПОТРЕБНОСТЬ ДОПОЛНИТЕЛЬНЫХ АССИГНОВАНИЙ ФЕДЕРАЛЬНОГО БЮДЖЕТА НА ОБЕСПЕЧЕНИЕ ПРОГРАММЫ СОКРАЩЕНИЯ ИМПОРТА ПРОДОВОЛЬСТВИЯ НА ПЕРИОД 2015 – 2020 ГОДОВ</t>
  </si>
  <si>
    <t>субсидирование части процентной ставки по краткосрочным кредитам (займам) на развитие селекционно-генетических центов и селекционно-семеноводческих центров,   в подотраслях растениеводства и животноводства</t>
  </si>
  <si>
    <t>субсидирование части процентной ставки по инвестиционным кредитам (займам) на развитие, на строительство и реконструкцию селекционно-генетических центров и селекционно-семеноводческих центров,   в подотраслях растениеводства и животноводства</t>
  </si>
  <si>
    <t>Основное мероприятие "Индетификация племенного маточного поголовья крупного рогатого скота молочного направления"</t>
  </si>
  <si>
    <t>субсидии на индетификацию племенного маточного поголовья крупного рогатого скота молочного направления</t>
  </si>
  <si>
    <t>Основное мероприятие "Обеспечение государственного мониторинга земель сельскохозяйственного назначения"</t>
  </si>
  <si>
    <t>субсидии на возмещение части затрат на строительство объектов плодохранилищ</t>
  </si>
  <si>
    <t>субсидии на возмещение части затрат на строительство объектов овощехранилищ и картофелехранилищ</t>
  </si>
  <si>
    <t>субсидии на возмещение части затрат на строительство объектов тепличных комплексов</t>
  </si>
  <si>
    <t>субсидии на возмещение части затрат на строительство объектов животноводческих комплексов молочного направления (молочных ферм)</t>
  </si>
  <si>
    <t>субсидии на возмещение части затрат на строительство объектов селекционно-генетических центров и селекционно-семеноводческих центров</t>
  </si>
  <si>
    <t xml:space="preserve">Основное мероприятие "Государственная поддержка кредитования развития селекционно-генетических и селекционно-семеноводческих центров в подотраслях животноводства и растениеводства» </t>
  </si>
  <si>
    <t xml:space="preserve">Основное мероприятие "Государственная поддержка строительства объектов селекционно-генетических центров и селекционно-семеноводческих центров» </t>
  </si>
  <si>
    <t>Основное мероприятие "Субсидии на поддержку кооперативов, осуществляющих деятельность по сбору молока в К(Ф)Х (ИП)"</t>
  </si>
  <si>
    <t>субсидии на поддержку кооперативов, осуществляющих деятельность по сбору молока в К(Ф)Х (ИП)</t>
  </si>
  <si>
    <t>Основное мероприятие "Развитие производства семенного картофеля и овощей открытого грунта" - всего</t>
  </si>
  <si>
    <t>Основное мероприятие "Субсидирование части процентной ставки по инвестиционным кредитам (займам)на развитие мясного скотоводства" - всего</t>
  </si>
  <si>
    <t xml:space="preserve">субсидирование части процентной ставки по краткосрочным кредитам (займам) на переработку продукции растениеводства и животноводства </t>
  </si>
  <si>
    <t>Основное мероприятие "Субсидии бюджетам субъектов Российской Федерации на развитие производства и товаропроводящей инфраструктуры системы социального питания"</t>
  </si>
  <si>
    <t>Стоимость 1 скотоместа, тыс. руб. - 500,2</t>
  </si>
  <si>
    <t>Депрастениеводство: До 2020 года необходимо создать 148 селекционно-семеноводческих центров в различных почвенно-климатических зонах страны, средняя стоимость единицы центра 183,3 млн. руб. Всего потребуется 27,1 млрд. рублей. При 20 % компенсации затрат из федерального бюджета потребуется 5,5 млрд. рублей, из регионального 1,1 млрд. рублей 20 % от суммы федерального бюджета).
Депживотноводство: В целях стабилизации и развития имеющегося поголовья крупного рогатого скота, а также комплектации введенных животноводческих мощностей необходимо создать 3 селекционно-генетических центра по молочному скотоводству, общей стоимостью 15-18 млрд. рублей, 4 селекционно-генетических центра по птицеводству (по бройлерному птицеводству, по индейководсту и по яичной птице), общий объем затрат на создание которых составит 16-20 млрд. рублей и 5 селекционно-генетических центра по свиноводству, с общим объемом финансирования из федерального бюджета 15-17 млрд. рублей.</t>
  </si>
  <si>
    <t>Оптово-распределительные (логистические) центры, тыс.руб. на 1 кв.м. - 47,9</t>
  </si>
  <si>
    <t>субсидии на возмещение части затрат по наращиванию поголовья оленей, маралов, мясных табунных лошадей</t>
  </si>
  <si>
    <t>Подпрограмма "Развитие подотрасли растениеводства, переработки и реализации продукции растениеводства"</t>
  </si>
  <si>
    <t>субсидии на производство и реализацию тонкорунной и полутонкорунной шерсти</t>
  </si>
  <si>
    <t>субсидии на содержание маточного поголовья  мясного и помесного крупного рогатого скота</t>
  </si>
  <si>
    <t>Затраты строительство плодохранилищ, тыс. руб. на 1 тонну - 45</t>
  </si>
  <si>
    <t xml:space="preserve">Затраты на закладку садов (интенсивные) тыс. руб. на 1 га - 580,8; Ставка субсидирования -169,9; Процент возмещения - 29,3%; Затраты на закладку садов (традиционные) тыс. руб. на 1 га - 179,1;  Ставка субсидирования -51,9; Процент возмещения - 29,0%; Затраты на уход за 1 га многолетних насаждений -49,1; Ставка субсидирования -14,2; Процент возмещения - 28,9%; </t>
  </si>
  <si>
    <t>Ставка на 1 га овощей открытого грунта - 7,0 тыс. руб., ставка на 1 га семенного картофеля - 10,0 тыс. руб.</t>
  </si>
  <si>
    <t xml:space="preserve"> Строительство овощехранилищ, тыс. руб. на 1 тонну - 12,5</t>
  </si>
  <si>
    <t>субсидии сельскохозяйственным товаропроизводителям на оказание несвязанной поддержки сельскохозяйственным товаропроизводителям на производство овощей открытого грунта и семенного картофеля</t>
  </si>
  <si>
    <t>субсидии производителям сельскохозяйственной техники на возмещение недополученных доходов от реализации сельскохозяйственным товаропроизводителям сельскохозяйственной техники</t>
  </si>
  <si>
    <t xml:space="preserve">                       Росавтодор</t>
  </si>
  <si>
    <t xml:space="preserve">  в том числе: Минсельхоз России</t>
  </si>
  <si>
    <t xml:space="preserve">Подпрограмма "Развитие овощеводства открытого и закрытого грунта и семенного картофелеводства" </t>
  </si>
  <si>
    <t>Росавтодор</t>
  </si>
  <si>
    <t>\</t>
  </si>
  <si>
    <t>123.3</t>
  </si>
  <si>
    <t>р</t>
  </si>
  <si>
    <t>Подпрограмма "Развитие подотрасли животноводства, переработки и реализации продукции животноводства"</t>
  </si>
  <si>
    <t>доп. потребность</t>
  </si>
  <si>
    <t>Наименование мероприятия</t>
  </si>
  <si>
    <t>Подпрограмма "Поддержка племенного дела, селекции и семеноводства"</t>
  </si>
  <si>
    <t>* - в соответствии с постановлением Правительства Российской Федерации от 15.04.2014 № 315</t>
  </si>
  <si>
    <t>** - выделенные параметры, являются приоритетными</t>
  </si>
  <si>
    <t>предлагаемые изменения в предельные объемы</t>
  </si>
  <si>
    <t>Основное мероприятие "Поддержка экономически значимых программ субъектов Российской Федерации в области мясного скотоводства", - всего</t>
  </si>
  <si>
    <t>Подпрограмма "Развитие оптово-распределительных центров и инфраструктуры системы социального питания"</t>
  </si>
  <si>
    <t>Основное мероприятие "Государственная поддержка кредитования развития оптово-распределительных центров, производства и товаропроводящей инфраструктуры системы социального питания"</t>
  </si>
  <si>
    <t>субсидии на возмещение процентной ставки по инвестиционным кредитам (займам) на развитие оптово-распределительных центров, производства и товаропроводящей инфраструктуры системы социального питания</t>
  </si>
  <si>
    <t>субсидии на возмещение части затрат на строительство объектов оптово-распределительных центров, производства и товаропроводящей инфраструктуры системы социального питания</t>
  </si>
  <si>
    <t>Основное мероприятие "Государственная поддержка строительства объектов оптово-распределительных центров, производства и товаропроводящей инфраструктуры системы социального питания"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</si>
</sst>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u/>
      <sz val="9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3" tint="0.3999755851924192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/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0" borderId="43" xfId="0" applyNumberFormat="1" applyFont="1" applyFill="1" applyBorder="1" applyAlignment="1">
      <alignment horizontal="center" vertical="center" wrapText="1"/>
    </xf>
    <xf numFmtId="164" fontId="3" fillId="0" borderId="41" xfId="0" applyNumberFormat="1" applyFont="1" applyFill="1" applyBorder="1" applyAlignment="1">
      <alignment horizontal="center" vertical="center" wrapText="1"/>
    </xf>
    <xf numFmtId="164" fontId="3" fillId="0" borderId="45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wrapText="1"/>
    </xf>
    <xf numFmtId="164" fontId="1" fillId="0" borderId="0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left" vertical="center" wrapText="1"/>
    </xf>
    <xf numFmtId="0" fontId="1" fillId="0" borderId="42" xfId="0" applyFont="1" applyFill="1" applyBorder="1" applyAlignment="1">
      <alignment horizontal="left" vertical="center" wrapText="1"/>
    </xf>
    <xf numFmtId="164" fontId="3" fillId="0" borderId="52" xfId="0" applyNumberFormat="1" applyFont="1" applyFill="1" applyBorder="1" applyAlignment="1">
      <alignment horizontal="center" vertical="center" wrapText="1"/>
    </xf>
    <xf numFmtId="164" fontId="3" fillId="0" borderId="44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0" fontId="1" fillId="0" borderId="50" xfId="0" applyFont="1" applyFill="1" applyBorder="1" applyAlignment="1">
      <alignment horizontal="left" vertical="center" wrapText="1" indent="1"/>
    </xf>
    <xf numFmtId="0" fontId="1" fillId="0" borderId="50" xfId="0" applyFont="1" applyFill="1" applyBorder="1" applyAlignment="1">
      <alignment horizontal="left" vertical="center" wrapText="1" indent="2"/>
    </xf>
    <xf numFmtId="164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1" fillId="0" borderId="50" xfId="0" applyFont="1" applyFill="1" applyBorder="1"/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52" xfId="0" applyNumberFormat="1" applyFont="1" applyFill="1" applyBorder="1" applyAlignment="1">
      <alignment horizontal="center" vertical="center" wrapText="1"/>
    </xf>
    <xf numFmtId="164" fontId="1" fillId="0" borderId="44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164" fontId="3" fillId="0" borderId="22" xfId="0" applyNumberFormat="1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3" fillId="0" borderId="21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vertical="center" wrapText="1"/>
    </xf>
    <xf numFmtId="164" fontId="2" fillId="0" borderId="43" xfId="0" applyNumberFormat="1" applyFont="1" applyFill="1" applyBorder="1" applyAlignment="1">
      <alignment horizontal="center" vertical="center" wrapText="1"/>
    </xf>
    <xf numFmtId="164" fontId="7" fillId="0" borderId="44" xfId="0" applyNumberFormat="1" applyFont="1" applyFill="1" applyBorder="1" applyAlignment="1">
      <alignment horizontal="center" vertical="center" wrapText="1"/>
    </xf>
    <xf numFmtId="0" fontId="1" fillId="0" borderId="51" xfId="0" applyFont="1" applyFill="1" applyBorder="1"/>
    <xf numFmtId="0" fontId="3" fillId="0" borderId="18" xfId="0" applyFont="1" applyFill="1" applyBorder="1" applyAlignment="1">
      <alignment horizontal="left" vertical="center" wrapText="1"/>
    </xf>
    <xf numFmtId="164" fontId="3" fillId="0" borderId="57" xfId="0" applyNumberFormat="1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vertical="center" wrapText="1"/>
    </xf>
    <xf numFmtId="164" fontId="2" fillId="0" borderId="52" xfId="0" applyNumberFormat="1" applyFont="1" applyFill="1" applyBorder="1" applyAlignment="1">
      <alignment horizontal="center" vertical="center" wrapText="1"/>
    </xf>
    <xf numFmtId="164" fontId="2" fillId="0" borderId="41" xfId="0" applyNumberFormat="1" applyFont="1" applyFill="1" applyBorder="1" applyAlignment="1">
      <alignment horizontal="center" vertical="center" wrapText="1"/>
    </xf>
    <xf numFmtId="164" fontId="2" fillId="0" borderId="44" xfId="0" applyNumberFormat="1" applyFont="1" applyFill="1" applyBorder="1" applyAlignment="1">
      <alignment horizontal="center" vertical="center" wrapText="1"/>
    </xf>
    <xf numFmtId="164" fontId="1" fillId="0" borderId="45" xfId="0" applyNumberFormat="1" applyFont="1" applyFill="1" applyBorder="1" applyAlignment="1">
      <alignment horizontal="center" vertical="center" wrapText="1"/>
    </xf>
    <xf numFmtId="164" fontId="3" fillId="0" borderId="24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vertical="center" wrapText="1"/>
    </xf>
    <xf numFmtId="164" fontId="3" fillId="0" borderId="25" xfId="0" applyNumberFormat="1" applyFont="1" applyFill="1" applyBorder="1" applyAlignment="1">
      <alignment horizontal="center" vertical="center" wrapText="1"/>
    </xf>
    <xf numFmtId="164" fontId="1" fillId="0" borderId="25" xfId="0" applyNumberFormat="1" applyFont="1" applyFill="1" applyBorder="1"/>
    <xf numFmtId="0" fontId="1" fillId="0" borderId="25" xfId="0" applyFont="1" applyFill="1" applyBorder="1"/>
    <xf numFmtId="164" fontId="2" fillId="0" borderId="27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1" fillId="0" borderId="27" xfId="0" applyNumberFormat="1" applyFont="1" applyFill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43" xfId="0" applyNumberFormat="1" applyFont="1" applyFill="1" applyBorder="1" applyAlignment="1">
      <alignment horizontal="center" vertical="center" wrapText="1"/>
    </xf>
    <xf numFmtId="164" fontId="1" fillId="0" borderId="4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0" fontId="1" fillId="0" borderId="36" xfId="0" applyFont="1" applyFill="1" applyBorder="1" applyAlignment="1">
      <alignment horizontal="left"/>
    </xf>
    <xf numFmtId="164" fontId="1" fillId="0" borderId="39" xfId="0" applyNumberFormat="1" applyFont="1" applyFill="1" applyBorder="1" applyAlignment="1">
      <alignment horizontal="center" vertical="center" wrapText="1"/>
    </xf>
    <xf numFmtId="164" fontId="2" fillId="0" borderId="54" xfId="0" applyNumberFormat="1" applyFont="1" applyFill="1" applyBorder="1" applyAlignment="1">
      <alignment horizontal="center" vertical="center" wrapText="1"/>
    </xf>
    <xf numFmtId="164" fontId="2" fillId="0" borderId="38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0" fontId="1" fillId="0" borderId="42" xfId="0" applyFont="1" applyFill="1" applyBorder="1"/>
    <xf numFmtId="1" fontId="1" fillId="0" borderId="15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64" fontId="12" fillId="0" borderId="49" xfId="0" applyNumberFormat="1" applyFont="1" applyFill="1" applyBorder="1" applyAlignment="1">
      <alignment horizontal="center" vertical="center" wrapText="1"/>
    </xf>
    <xf numFmtId="164" fontId="2" fillId="0" borderId="56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left" vertical="center" wrapText="1"/>
    </xf>
    <xf numFmtId="164" fontId="3" fillId="0" borderId="49" xfId="0" applyNumberFormat="1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left" vertical="center" wrapText="1"/>
    </xf>
    <xf numFmtId="164" fontId="3" fillId="0" borderId="50" xfId="0" applyNumberFormat="1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left" vertical="center" wrapText="1"/>
    </xf>
    <xf numFmtId="164" fontId="3" fillId="0" borderId="42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vertical="center" wrapText="1"/>
    </xf>
    <xf numFmtId="164" fontId="1" fillId="0" borderId="50" xfId="0" applyNumberFormat="1" applyFont="1" applyFill="1" applyBorder="1"/>
    <xf numFmtId="0" fontId="1" fillId="0" borderId="25" xfId="0" applyFont="1" applyFill="1" applyBorder="1" applyAlignment="1">
      <alignment horizontal="left" vertical="center" wrapText="1" indent="1"/>
    </xf>
    <xf numFmtId="0" fontId="1" fillId="0" borderId="25" xfId="0" applyFont="1" applyFill="1" applyBorder="1" applyAlignment="1">
      <alignment horizontal="left" vertical="center" wrapText="1" indent="2"/>
    </xf>
    <xf numFmtId="164" fontId="2" fillId="0" borderId="50" xfId="0" applyNumberFormat="1" applyFont="1" applyFill="1" applyBorder="1"/>
    <xf numFmtId="164" fontId="2" fillId="0" borderId="0" xfId="0" applyNumberFormat="1" applyFont="1" applyFill="1" applyBorder="1"/>
    <xf numFmtId="164" fontId="1" fillId="0" borderId="50" xfId="0" applyNumberFormat="1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vertical="top"/>
    </xf>
    <xf numFmtId="164" fontId="1" fillId="0" borderId="50" xfId="0" applyNumberFormat="1" applyFont="1" applyFill="1" applyBorder="1" applyAlignment="1">
      <alignment horizontal="center" wrapText="1"/>
    </xf>
    <xf numFmtId="164" fontId="1" fillId="0" borderId="50" xfId="0" applyNumberFormat="1" applyFont="1" applyFill="1" applyBorder="1" applyAlignment="1">
      <alignment wrapText="1"/>
    </xf>
    <xf numFmtId="0" fontId="1" fillId="0" borderId="26" xfId="0" applyFont="1" applyFill="1" applyBorder="1" applyAlignment="1">
      <alignment horizontal="left" vertical="center" wrapText="1" indent="2"/>
    </xf>
    <xf numFmtId="164" fontId="1" fillId="0" borderId="42" xfId="0" applyNumberFormat="1" applyFont="1" applyFill="1" applyBorder="1"/>
    <xf numFmtId="164" fontId="3" fillId="0" borderId="18" xfId="0" applyNumberFormat="1" applyFont="1" applyFill="1" applyBorder="1" applyAlignment="1">
      <alignment horizontal="center" vertical="center" wrapText="1"/>
    </xf>
    <xf numFmtId="164" fontId="1" fillId="0" borderId="50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/>
    </xf>
    <xf numFmtId="164" fontId="1" fillId="0" borderId="25" xfId="0" applyNumberFormat="1" applyFont="1" applyFill="1" applyBorder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164" fontId="2" fillId="0" borderId="45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/>
    <xf numFmtId="0" fontId="1" fillId="0" borderId="26" xfId="0" applyFont="1" applyFill="1" applyBorder="1"/>
    <xf numFmtId="0" fontId="3" fillId="0" borderId="18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vertical="center" wrapText="1"/>
    </xf>
    <xf numFmtId="0" fontId="1" fillId="0" borderId="50" xfId="0" applyFont="1" applyFill="1" applyBorder="1" applyAlignment="1">
      <alignment wrapText="1"/>
    </xf>
    <xf numFmtId="0" fontId="2" fillId="0" borderId="42" xfId="0" applyFont="1" applyFill="1" applyBorder="1" applyAlignment="1">
      <alignment vertical="center" wrapText="1"/>
    </xf>
    <xf numFmtId="0" fontId="1" fillId="0" borderId="59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164" fontId="2" fillId="0" borderId="5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37" xfId="0" applyNumberFormat="1" applyFont="1" applyFill="1" applyBorder="1" applyAlignment="1">
      <alignment horizontal="center" vertical="center" wrapText="1"/>
    </xf>
    <xf numFmtId="1" fontId="1" fillId="0" borderId="22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left" vertical="center" wrapText="1" indent="2"/>
    </xf>
    <xf numFmtId="164" fontId="1" fillId="0" borderId="26" xfId="0" applyNumberFormat="1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2" fillId="0" borderId="5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wrapText="1"/>
    </xf>
    <xf numFmtId="0" fontId="1" fillId="0" borderId="25" xfId="0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35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4" fontId="3" fillId="0" borderId="51" xfId="0" applyNumberFormat="1" applyFont="1" applyFill="1" applyBorder="1" applyAlignment="1">
      <alignment horizontal="center" vertical="center" wrapText="1"/>
    </xf>
    <xf numFmtId="164" fontId="2" fillId="0" borderId="50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0" borderId="62" xfId="0" applyNumberFormat="1" applyFont="1" applyFill="1" applyBorder="1" applyAlignment="1">
      <alignment horizontal="center" vertical="center" wrapText="1"/>
    </xf>
    <xf numFmtId="164" fontId="1" fillId="0" borderId="63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vertical="center" wrapText="1"/>
    </xf>
    <xf numFmtId="0" fontId="1" fillId="0" borderId="47" xfId="0" applyFont="1" applyFill="1" applyBorder="1" applyAlignment="1">
      <alignment horizontal="center" vertical="center" wrapText="1"/>
    </xf>
    <xf numFmtId="164" fontId="1" fillId="0" borderId="47" xfId="0" applyNumberFormat="1" applyFont="1" applyFill="1" applyBorder="1" applyAlignment="1">
      <alignment horizontal="center" vertical="center" wrapText="1"/>
    </xf>
    <xf numFmtId="164" fontId="1" fillId="0" borderId="48" xfId="0" applyNumberFormat="1" applyFont="1" applyFill="1" applyBorder="1" applyAlignment="1">
      <alignment horizontal="center" vertical="center" wrapText="1"/>
    </xf>
    <xf numFmtId="164" fontId="1" fillId="0" borderId="46" xfId="0" applyNumberFormat="1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 indent="2"/>
    </xf>
    <xf numFmtId="0" fontId="6" fillId="0" borderId="25" xfId="0" applyFont="1" applyFill="1" applyBorder="1" applyAlignment="1">
      <alignment horizontal="left" vertical="center" wrapText="1" indent="2"/>
    </xf>
    <xf numFmtId="164" fontId="6" fillId="0" borderId="3" xfId="0" applyNumberFormat="1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vertical="center" wrapText="1"/>
    </xf>
    <xf numFmtId="164" fontId="8" fillId="0" borderId="43" xfId="0" applyNumberFormat="1" applyFont="1" applyFill="1" applyBorder="1" applyAlignment="1">
      <alignment horizontal="center" vertical="center" wrapText="1"/>
    </xf>
    <xf numFmtId="164" fontId="8" fillId="0" borderId="41" xfId="0" applyNumberFormat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left" vertical="center" wrapText="1" indent="1"/>
    </xf>
    <xf numFmtId="0" fontId="16" fillId="0" borderId="25" xfId="0" applyFont="1" applyFill="1" applyBorder="1" applyAlignment="1">
      <alignment horizontal="left" vertical="center" wrapText="1" indent="2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left" vertical="center" wrapText="1" indent="2"/>
    </xf>
    <xf numFmtId="0" fontId="16" fillId="0" borderId="26" xfId="0" applyFont="1" applyFill="1" applyBorder="1" applyAlignment="1">
      <alignment horizontal="left" vertical="center" wrapText="1" indent="2"/>
    </xf>
    <xf numFmtId="164" fontId="16" fillId="0" borderId="12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/>
    <xf numFmtId="0" fontId="2" fillId="4" borderId="31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left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left" vertical="center" wrapText="1" indent="2"/>
    </xf>
    <xf numFmtId="0" fontId="2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horizontal="left" vertical="center" wrapText="1" indent="2"/>
    </xf>
    <xf numFmtId="0" fontId="2" fillId="2" borderId="3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5" fillId="0" borderId="32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164" fontId="1" fillId="0" borderId="50" xfId="0" applyNumberFormat="1" applyFont="1" applyFill="1" applyBorder="1" applyAlignment="1">
      <alignment horizontal="center" wrapText="1"/>
    </xf>
    <xf numFmtId="0" fontId="1" fillId="0" borderId="36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241"/>
  <sheetViews>
    <sheetView tabSelected="1" view="pageBreakPreview" topLeftCell="A185" zoomScale="70" zoomScaleNormal="70" zoomScaleSheetLayoutView="70" zoomScalePageLayoutView="55" workbookViewId="0">
      <selection activeCell="X188" sqref="X188"/>
    </sheetView>
  </sheetViews>
  <sheetFormatPr defaultRowHeight="12.75" x14ac:dyDescent="0.2"/>
  <cols>
    <col min="1" max="1" width="4.28515625" style="31" customWidth="1"/>
    <col min="2" max="2" width="85.7109375" style="31" customWidth="1"/>
    <col min="3" max="3" width="14" style="31" customWidth="1"/>
    <col min="4" max="4" width="12.140625" style="31" customWidth="1"/>
    <col min="5" max="5" width="11.5703125" style="31" customWidth="1"/>
    <col min="6" max="6" width="14.42578125" style="31" customWidth="1"/>
    <col min="7" max="7" width="12.85546875" style="31" customWidth="1"/>
    <col min="8" max="8" width="11.5703125" style="31" customWidth="1"/>
    <col min="9" max="9" width="14.28515625" style="31" customWidth="1"/>
    <col min="10" max="10" width="12.85546875" style="31" customWidth="1"/>
    <col min="11" max="12" width="11.5703125" style="31" customWidth="1"/>
    <col min="13" max="13" width="12.5703125" style="31" customWidth="1"/>
    <col min="14" max="15" width="11.5703125" style="31" customWidth="1"/>
    <col min="16" max="16" width="12.5703125" style="31" customWidth="1"/>
    <col min="17" max="18" width="11.5703125" style="31" customWidth="1"/>
    <col min="19" max="19" width="13.85546875" style="31" customWidth="1"/>
    <col min="20" max="20" width="11.5703125" style="31" customWidth="1"/>
    <col min="21" max="21" width="12.28515625" style="31" customWidth="1"/>
    <col min="22" max="22" width="11.28515625" style="31" customWidth="1"/>
    <col min="23" max="23" width="16.85546875" style="31" customWidth="1"/>
    <col min="24" max="24" width="65.28515625" style="17" customWidth="1"/>
    <col min="25" max="25" width="11.85546875" style="31" customWidth="1"/>
    <col min="26" max="26" width="14.28515625" style="31" customWidth="1"/>
    <col min="27" max="27" width="18.140625" style="31" customWidth="1"/>
    <col min="28" max="28" width="17.5703125" style="31" customWidth="1"/>
    <col min="29" max="29" width="12.85546875" style="31" customWidth="1"/>
    <col min="30" max="16384" width="9.140625" style="31"/>
  </cols>
  <sheetData>
    <row r="1" spans="1:44" ht="30.75" customHeight="1" x14ac:dyDescent="0.2">
      <c r="A1" s="256" t="s">
        <v>130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85">
        <f>U5+X2</f>
        <v>1818157.2464175001</v>
      </c>
      <c r="Y1" s="83"/>
      <c r="Z1" s="83"/>
    </row>
    <row r="2" spans="1:44" ht="15" customHeight="1" thickBot="1" x14ac:dyDescent="0.25">
      <c r="B2" s="88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262" t="s">
        <v>107</v>
      </c>
      <c r="V2" s="262"/>
      <c r="W2" s="89"/>
      <c r="X2" s="44">
        <f>C5+F5+I5+L5+O5+R5</f>
        <v>1192473.6572499999</v>
      </c>
      <c r="Y2" s="89"/>
      <c r="Z2" s="89"/>
    </row>
    <row r="3" spans="1:44" ht="18.75" customHeight="1" thickBot="1" x14ac:dyDescent="0.25">
      <c r="A3" s="263" t="s">
        <v>104</v>
      </c>
      <c r="B3" s="257" t="s">
        <v>171</v>
      </c>
      <c r="C3" s="265" t="s">
        <v>85</v>
      </c>
      <c r="D3" s="266"/>
      <c r="E3" s="267"/>
      <c r="F3" s="265" t="s">
        <v>86</v>
      </c>
      <c r="G3" s="266"/>
      <c r="H3" s="267"/>
      <c r="I3" s="265" t="s">
        <v>87</v>
      </c>
      <c r="J3" s="266"/>
      <c r="K3" s="267"/>
      <c r="L3" s="265" t="s">
        <v>100</v>
      </c>
      <c r="M3" s="266"/>
      <c r="N3" s="267"/>
      <c r="O3" s="265" t="s">
        <v>101</v>
      </c>
      <c r="P3" s="266"/>
      <c r="Q3" s="267"/>
      <c r="R3" s="265" t="s">
        <v>102</v>
      </c>
      <c r="S3" s="266"/>
      <c r="T3" s="267"/>
      <c r="U3" s="265" t="s">
        <v>103</v>
      </c>
      <c r="V3" s="267"/>
      <c r="W3" s="268" t="s">
        <v>0</v>
      </c>
      <c r="X3" s="252">
        <v>588048.48806749994</v>
      </c>
      <c r="Y3" s="83"/>
      <c r="Z3" s="83"/>
    </row>
    <row r="4" spans="1:44" ht="71.25" customHeight="1" thickBot="1" x14ac:dyDescent="0.25">
      <c r="A4" s="264"/>
      <c r="B4" s="258"/>
      <c r="C4" s="242" t="s">
        <v>175</v>
      </c>
      <c r="D4" s="243" t="s">
        <v>170</v>
      </c>
      <c r="E4" s="244" t="s">
        <v>84</v>
      </c>
      <c r="F4" s="242" t="s">
        <v>175</v>
      </c>
      <c r="G4" s="243" t="s">
        <v>170</v>
      </c>
      <c r="H4" s="244" t="s">
        <v>84</v>
      </c>
      <c r="I4" s="242" t="s">
        <v>175</v>
      </c>
      <c r="J4" s="243" t="s">
        <v>170</v>
      </c>
      <c r="K4" s="244" t="s">
        <v>84</v>
      </c>
      <c r="L4" s="245" t="s">
        <v>96</v>
      </c>
      <c r="M4" s="243" t="s">
        <v>170</v>
      </c>
      <c r="N4" s="244" t="s">
        <v>84</v>
      </c>
      <c r="O4" s="245" t="s">
        <v>96</v>
      </c>
      <c r="P4" s="243" t="s">
        <v>170</v>
      </c>
      <c r="Q4" s="244" t="s">
        <v>84</v>
      </c>
      <c r="R4" s="245" t="s">
        <v>96</v>
      </c>
      <c r="S4" s="243" t="s">
        <v>170</v>
      </c>
      <c r="T4" s="244" t="s">
        <v>84</v>
      </c>
      <c r="U4" s="243" t="s">
        <v>170</v>
      </c>
      <c r="V4" s="244" t="s">
        <v>84</v>
      </c>
      <c r="W4" s="269"/>
      <c r="X4" s="252"/>
      <c r="Y4" s="83"/>
      <c r="Z4" s="83"/>
    </row>
    <row r="5" spans="1:44" ht="16.5" customHeight="1" x14ac:dyDescent="0.2">
      <c r="A5" s="272"/>
      <c r="B5" s="46" t="s">
        <v>88</v>
      </c>
      <c r="C5" s="7">
        <f>SUM(C8:C11)</f>
        <v>170021.20759999997</v>
      </c>
      <c r="D5" s="5">
        <f>SUM(D8:D11)</f>
        <v>77463.244000000006</v>
      </c>
      <c r="E5" s="8">
        <f>SUM(E8:E11)</f>
        <v>247484.45159999997</v>
      </c>
      <c r="F5" s="4">
        <f t="shared" ref="F5:T5" si="0">SUM(F8:F11)</f>
        <v>166480.87000000002</v>
      </c>
      <c r="G5" s="5">
        <f t="shared" si="0"/>
        <v>91588.793600000005</v>
      </c>
      <c r="H5" s="6">
        <f>SUM(H8:H11)</f>
        <v>258069.66360000003</v>
      </c>
      <c r="I5" s="7">
        <f t="shared" si="0"/>
        <v>195284.09779999999</v>
      </c>
      <c r="J5" s="5">
        <f t="shared" si="0"/>
        <v>105152.21580249998</v>
      </c>
      <c r="K5" s="8">
        <f t="shared" si="0"/>
        <v>300436.31360250001</v>
      </c>
      <c r="L5" s="4">
        <f t="shared" si="0"/>
        <v>212453.23445000002</v>
      </c>
      <c r="M5" s="5">
        <f t="shared" si="0"/>
        <v>111574.850215</v>
      </c>
      <c r="N5" s="6">
        <f t="shared" si="0"/>
        <v>324028.08466499997</v>
      </c>
      <c r="O5" s="7">
        <f t="shared" si="0"/>
        <v>220586.20040000003</v>
      </c>
      <c r="P5" s="5">
        <f t="shared" si="0"/>
        <v>117188.97715499999</v>
      </c>
      <c r="Q5" s="8">
        <f>SUM(Q8:Q11)</f>
        <v>337775.177555</v>
      </c>
      <c r="R5" s="4">
        <f t="shared" si="0"/>
        <v>227648.04700000002</v>
      </c>
      <c r="S5" s="5">
        <f t="shared" si="0"/>
        <v>122715.50839499998</v>
      </c>
      <c r="T5" s="6">
        <f t="shared" si="0"/>
        <v>350363.55539500003</v>
      </c>
      <c r="U5" s="7">
        <f>SUM(U8:U11)</f>
        <v>625683.58916750003</v>
      </c>
      <c r="V5" s="6">
        <f>SUM(V8:V11)</f>
        <v>1818157.2464175001</v>
      </c>
      <c r="W5" s="90"/>
      <c r="X5" s="83"/>
      <c r="Y5" s="83"/>
      <c r="Z5" s="83"/>
    </row>
    <row r="6" spans="1:44" ht="16.5" hidden="1" customHeight="1" x14ac:dyDescent="0.2">
      <c r="A6" s="273"/>
      <c r="B6" s="47"/>
      <c r="C6" s="13"/>
      <c r="D6" s="14"/>
      <c r="E6" s="15"/>
      <c r="F6" s="28">
        <v>166480.79990000001</v>
      </c>
      <c r="G6" s="14"/>
      <c r="H6" s="29"/>
      <c r="I6" s="13">
        <v>195284.09700000001</v>
      </c>
      <c r="J6" s="14"/>
      <c r="K6" s="15"/>
      <c r="L6" s="28">
        <v>848</v>
      </c>
      <c r="M6" s="14"/>
      <c r="N6" s="29"/>
      <c r="O6" s="13">
        <v>621.5</v>
      </c>
      <c r="P6" s="14"/>
      <c r="Q6" s="15"/>
      <c r="R6" s="28">
        <v>755</v>
      </c>
      <c r="S6" s="14"/>
      <c r="T6" s="29"/>
      <c r="U6" s="63">
        <f>D5+G5+J5+M5+P5+S5</f>
        <v>625683.58916749991</v>
      </c>
      <c r="V6" s="71">
        <f>C5+F5+I5+L5+O5+R5</f>
        <v>1192473.6572499999</v>
      </c>
      <c r="W6" s="173"/>
      <c r="X6" s="119">
        <v>2224.5</v>
      </c>
      <c r="Y6" s="83"/>
      <c r="Z6" s="83"/>
    </row>
    <row r="7" spans="1:44" ht="16.5" hidden="1" customHeight="1" x14ac:dyDescent="0.2">
      <c r="A7" s="273"/>
      <c r="B7" s="47"/>
      <c r="C7" s="13"/>
      <c r="D7" s="14"/>
      <c r="E7" s="15"/>
      <c r="F7" s="28">
        <f>F6-F5</f>
        <v>-7.0100000011734664E-2</v>
      </c>
      <c r="G7" s="14"/>
      <c r="H7" s="29"/>
      <c r="I7" s="13">
        <f>I6-I5</f>
        <v>-7.9999997979030013E-4</v>
      </c>
      <c r="J7" s="14"/>
      <c r="K7" s="15"/>
      <c r="L7" s="28"/>
      <c r="M7" s="14"/>
      <c r="N7" s="29"/>
      <c r="O7" s="13"/>
      <c r="P7" s="14"/>
      <c r="Q7" s="15"/>
      <c r="R7" s="28"/>
      <c r="S7" s="14"/>
      <c r="T7" s="29"/>
      <c r="U7" s="86"/>
      <c r="V7" s="43"/>
      <c r="W7" s="91"/>
      <c r="X7" s="83"/>
      <c r="Y7" s="83"/>
      <c r="Z7" s="83"/>
    </row>
    <row r="8" spans="1:44" ht="15" customHeight="1" x14ac:dyDescent="0.2">
      <c r="A8" s="273"/>
      <c r="B8" s="56" t="s">
        <v>81</v>
      </c>
      <c r="C8" s="92">
        <f>SUM(C14,C45,C57,C110,C90,C121,C140,C150,C164,C184,C197,C205,C209)</f>
        <v>151116.83059999996</v>
      </c>
      <c r="D8" s="9">
        <f>SUM(D14,D45,D57,D110,D90,D121,D140,D150,D164,D184,D197,D205,D209)</f>
        <v>75786.107300000003</v>
      </c>
      <c r="E8" s="74">
        <f>SUM(E14,E45,E57,E110,E90,E121,E140,E150,E164,E184,E197,E205,E209)</f>
        <v>226902.93789999996</v>
      </c>
      <c r="F8" s="10">
        <f>SUM(F14,F45,F57,F110,F90,F121,F140,F150,F164,F184,F197,F205,F209)</f>
        <v>147569.85090000002</v>
      </c>
      <c r="G8" s="9">
        <f>SUM(G14,G45,G57,G110,G90,G121,G140,G150,G164,G184,G197,G205,G209)</f>
        <v>90246.606700000004</v>
      </c>
      <c r="H8" s="3">
        <f t="shared" ref="H8:H11" si="1">F8+G8</f>
        <v>237816.45760000002</v>
      </c>
      <c r="I8" s="92">
        <f>SUM(I14,I45,I57,I110,I90,I121,I140,I150,I164,I184,I197,I205,I209)</f>
        <v>174844.32450000002</v>
      </c>
      <c r="J8" s="9">
        <f>SUM(J14,J45,J57,J110,J90,J121,J140,J150,J164,J184,J197,J205,J209)</f>
        <v>104185.87150249998</v>
      </c>
      <c r="K8" s="93">
        <f>I8+J8</f>
        <v>279030.19600250002</v>
      </c>
      <c r="L8" s="10">
        <f>SUM(L14,L45,L57,L110,L90,L121,L140,L150,L164,L184,L197,L205,L209)</f>
        <v>191986.02184999999</v>
      </c>
      <c r="M8" s="9">
        <f>SUM(M14,M45,M57,M110,M90,M121,M140,M150,M164,M184,M197,M205,M209)</f>
        <v>110416.350215</v>
      </c>
      <c r="N8" s="3">
        <f>L8+M8</f>
        <v>302402.372065</v>
      </c>
      <c r="O8" s="92">
        <f>SUM(O14,O45,O57,O110,O90,O121,O140,O150,O164,O184,O197,O205,O209)</f>
        <v>199356.86440000002</v>
      </c>
      <c r="P8" s="9">
        <f>SUM(P14,P45,P57,P110,P90,P121,P140,P150,P164,P184,P197,P205,P209)</f>
        <v>116030.47715499999</v>
      </c>
      <c r="Q8" s="93">
        <f>O8+P8</f>
        <v>315387.34155499999</v>
      </c>
      <c r="R8" s="10">
        <f>SUM(R14,R45,R57,R110,R90,R121,R140,R150,R164,R184,R197,R205,R209)</f>
        <v>205646.80530000001</v>
      </c>
      <c r="S8" s="9">
        <f>SUM(S14,S45,S57,S110,S90,S121,S140,S150,S164,S184,S197,S205,S209)</f>
        <v>121557.00839499998</v>
      </c>
      <c r="T8" s="3">
        <f>R8+S8</f>
        <v>327203.81369500002</v>
      </c>
      <c r="U8" s="92">
        <f>SUM(U14,U45,U57,U110,U90,U121,U140,U150,U164,U184,U197,U205,U209)</f>
        <v>618222.42126750003</v>
      </c>
      <c r="V8" s="11">
        <f>SUM(V14,V45,V57,V110,V90,V121,V140,V150,V164,V184,V197,V205,V209)</f>
        <v>1688743.1188175001</v>
      </c>
      <c r="W8" s="94"/>
      <c r="X8" s="83"/>
      <c r="Y8" s="83"/>
      <c r="Z8" s="83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</row>
    <row r="9" spans="1:44" ht="15" customHeight="1" x14ac:dyDescent="0.2">
      <c r="A9" s="273"/>
      <c r="B9" s="95" t="s">
        <v>95</v>
      </c>
      <c r="C9" s="96">
        <f>SUM(C206)</f>
        <v>0</v>
      </c>
      <c r="D9" s="174">
        <f t="shared" ref="D9:S9" si="2">SUM(D206)</f>
        <v>0</v>
      </c>
      <c r="E9" s="93">
        <f t="shared" ref="E9:E11" si="3">C9+D9</f>
        <v>0</v>
      </c>
      <c r="F9" s="97">
        <f t="shared" si="2"/>
        <v>317.55180000000001</v>
      </c>
      <c r="G9" s="174">
        <f t="shared" si="2"/>
        <v>6.4805999999999813</v>
      </c>
      <c r="H9" s="3">
        <f t="shared" si="1"/>
        <v>324.0324</v>
      </c>
      <c r="I9" s="96">
        <f t="shared" si="2"/>
        <v>449.85570000000001</v>
      </c>
      <c r="J9" s="174">
        <f t="shared" si="2"/>
        <v>8.9442999999999984</v>
      </c>
      <c r="K9" s="93">
        <f t="shared" ref="K9:K11" si="4">I9+J9</f>
        <v>458.8</v>
      </c>
      <c r="L9" s="97">
        <f t="shared" si="2"/>
        <v>553.6</v>
      </c>
      <c r="M9" s="174">
        <f t="shared" si="2"/>
        <v>0</v>
      </c>
      <c r="N9" s="3">
        <f t="shared" ref="N9:N11" si="5">L9+M9</f>
        <v>553.6</v>
      </c>
      <c r="O9" s="96">
        <f t="shared" si="2"/>
        <v>653.1</v>
      </c>
      <c r="P9" s="174">
        <f t="shared" si="2"/>
        <v>0</v>
      </c>
      <c r="Q9" s="93">
        <f>O9+P9</f>
        <v>653.1</v>
      </c>
      <c r="R9" s="97">
        <f t="shared" si="2"/>
        <v>766.9</v>
      </c>
      <c r="S9" s="174">
        <f t="shared" si="2"/>
        <v>0</v>
      </c>
      <c r="T9" s="3">
        <f t="shared" ref="T9:T11" si="6">R9+S9</f>
        <v>766.9</v>
      </c>
      <c r="U9" s="92">
        <f t="shared" ref="U9:V11" si="7">SUM(D9,G9,J9,M9,P9,S9)</f>
        <v>15.42489999999998</v>
      </c>
      <c r="V9" s="11">
        <f t="shared" si="7"/>
        <v>2756.4324000000001</v>
      </c>
      <c r="W9" s="39"/>
    </row>
    <row r="10" spans="1:44" ht="15" customHeight="1" x14ac:dyDescent="0.2">
      <c r="A10" s="273"/>
      <c r="B10" s="95" t="s">
        <v>82</v>
      </c>
      <c r="C10" s="98">
        <f>SUM(C9,C58,C185)</f>
        <v>11731.876999999999</v>
      </c>
      <c r="D10" s="175">
        <f>SUM(D58,D185)</f>
        <v>1677.1367</v>
      </c>
      <c r="E10" s="93">
        <f t="shared" si="3"/>
        <v>13409.0137</v>
      </c>
      <c r="F10" s="99">
        <v>11014.2894</v>
      </c>
      <c r="G10" s="175">
        <f>SUM(G58,G185)</f>
        <v>1335.7062999999998</v>
      </c>
      <c r="H10" s="3">
        <f t="shared" si="1"/>
        <v>12349.995699999999</v>
      </c>
      <c r="I10" s="98">
        <v>11654.786700000001</v>
      </c>
      <c r="J10" s="175">
        <f>J72+J195</f>
        <v>957.4</v>
      </c>
      <c r="K10" s="93">
        <f t="shared" si="4"/>
        <v>12612.1867</v>
      </c>
      <c r="L10" s="99">
        <v>10975.9126</v>
      </c>
      <c r="M10" s="175">
        <f>SUM(M9,M58,M185)</f>
        <v>1158.5</v>
      </c>
      <c r="N10" s="3">
        <f t="shared" si="5"/>
        <v>12134.4126</v>
      </c>
      <c r="O10" s="98">
        <v>11241.536</v>
      </c>
      <c r="P10" s="175">
        <f>SUM(P9,P58,P185)</f>
        <v>1158.5</v>
      </c>
      <c r="Q10" s="93">
        <f>O10+P10</f>
        <v>12400.036</v>
      </c>
      <c r="R10" s="99">
        <v>11506.2417</v>
      </c>
      <c r="S10" s="175">
        <f>SUM(S9,S58,S185)</f>
        <v>1158.5</v>
      </c>
      <c r="T10" s="3">
        <f t="shared" si="6"/>
        <v>12664.7417</v>
      </c>
      <c r="U10" s="92">
        <f t="shared" si="7"/>
        <v>7445.7430000000004</v>
      </c>
      <c r="V10" s="11">
        <f>SUM(E10,H10,K10,N10,Q10,T10)</f>
        <v>75570.386400000003</v>
      </c>
      <c r="W10" s="39"/>
    </row>
    <row r="11" spans="1:44" ht="15.75" customHeight="1" thickBot="1" x14ac:dyDescent="0.25">
      <c r="A11" s="273"/>
      <c r="B11" s="100" t="s">
        <v>165</v>
      </c>
      <c r="C11" s="101">
        <f>C207</f>
        <v>7172.5</v>
      </c>
      <c r="D11" s="176"/>
      <c r="E11" s="102">
        <f t="shared" si="3"/>
        <v>7172.5</v>
      </c>
      <c r="F11" s="101">
        <f>F207</f>
        <v>7579.1779000000006</v>
      </c>
      <c r="G11" s="176"/>
      <c r="H11" s="103">
        <f t="shared" si="1"/>
        <v>7579.1779000000006</v>
      </c>
      <c r="I11" s="101">
        <f>I207</f>
        <v>8335.1309000000001</v>
      </c>
      <c r="J11" s="176"/>
      <c r="K11" s="102">
        <f t="shared" si="4"/>
        <v>8335.1309000000001</v>
      </c>
      <c r="L11" s="101">
        <f>L207</f>
        <v>8937.7000000000007</v>
      </c>
      <c r="M11" s="176"/>
      <c r="N11" s="103">
        <f t="shared" si="5"/>
        <v>8937.7000000000007</v>
      </c>
      <c r="O11" s="101">
        <f>O207</f>
        <v>9334.7000000000007</v>
      </c>
      <c r="P11" s="176"/>
      <c r="Q11" s="102">
        <f t="shared" ref="Q11" si="8">O11+P11</f>
        <v>9334.7000000000007</v>
      </c>
      <c r="R11" s="101">
        <f>R207</f>
        <v>9728.1</v>
      </c>
      <c r="S11" s="176"/>
      <c r="T11" s="103">
        <f t="shared" si="6"/>
        <v>9728.1</v>
      </c>
      <c r="U11" s="92">
        <f t="shared" si="7"/>
        <v>0</v>
      </c>
      <c r="V11" s="59">
        <f>SUM(E11,H11,K11,N11,Q11,T11)</f>
        <v>51087.308799999999</v>
      </c>
      <c r="W11" s="105"/>
    </row>
    <row r="12" spans="1:44" ht="13.5" thickBot="1" x14ac:dyDescent="0.25">
      <c r="A12" s="106">
        <v>1</v>
      </c>
      <c r="B12" s="107">
        <v>2</v>
      </c>
      <c r="C12" s="108">
        <v>4</v>
      </c>
      <c r="D12" s="177">
        <v>5</v>
      </c>
      <c r="E12" s="109">
        <v>6</v>
      </c>
      <c r="F12" s="110">
        <v>8</v>
      </c>
      <c r="G12" s="177">
        <v>9</v>
      </c>
      <c r="H12" s="111">
        <v>10</v>
      </c>
      <c r="I12" s="108">
        <v>12</v>
      </c>
      <c r="J12" s="177">
        <v>13</v>
      </c>
      <c r="K12" s="109">
        <v>14</v>
      </c>
      <c r="L12" s="110">
        <v>15</v>
      </c>
      <c r="M12" s="177">
        <v>16</v>
      </c>
      <c r="N12" s="111">
        <v>17</v>
      </c>
      <c r="O12" s="108">
        <v>18</v>
      </c>
      <c r="P12" s="177">
        <v>19</v>
      </c>
      <c r="Q12" s="109">
        <v>20</v>
      </c>
      <c r="R12" s="110">
        <v>21</v>
      </c>
      <c r="S12" s="177">
        <v>22</v>
      </c>
      <c r="T12" s="111">
        <v>23</v>
      </c>
      <c r="U12" s="108">
        <v>24</v>
      </c>
      <c r="V12" s="111">
        <v>25</v>
      </c>
      <c r="W12" s="112">
        <v>26</v>
      </c>
      <c r="X12" s="113">
        <v>26</v>
      </c>
      <c r="Y12" s="113"/>
      <c r="Z12" s="113"/>
    </row>
    <row r="13" spans="1:44" ht="18.75" customHeight="1" thickBot="1" x14ac:dyDescent="0.25">
      <c r="A13" s="274" t="s">
        <v>153</v>
      </c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6"/>
      <c r="X13" s="119"/>
      <c r="Y13" s="119"/>
      <c r="Z13" s="119"/>
    </row>
    <row r="14" spans="1:44" ht="13.5" thickBot="1" x14ac:dyDescent="0.25">
      <c r="A14" s="156"/>
      <c r="B14" s="66" t="s">
        <v>88</v>
      </c>
      <c r="C14" s="55">
        <f>SUM(C15,C18,C25,C26,C30,C34,C37,C41)</f>
        <v>45270.219499999999</v>
      </c>
      <c r="D14" s="51">
        <f>SUM(D15,D18,D25,D26,D30,D34,D37,D41)</f>
        <v>8843.7188000000006</v>
      </c>
      <c r="E14" s="52">
        <f>C14+D14</f>
        <v>54113.938300000002</v>
      </c>
      <c r="F14" s="51">
        <f>SUM(F15,F18,F25,F26,F30,F34,F37,F41)</f>
        <v>44807.169500000004</v>
      </c>
      <c r="G14" s="51">
        <f>SUM(G15,G18,G25,G26,G30,G34,G37,G41)</f>
        <v>9984.8864000000012</v>
      </c>
      <c r="H14" s="52">
        <f t="shared" ref="H14" si="9">F14+G14</f>
        <v>54792.055900000007</v>
      </c>
      <c r="I14" s="51">
        <f>SUM(I15,I18,I25,I26,I30,I34,I37,I41)</f>
        <v>58793.474099999999</v>
      </c>
      <c r="J14" s="51">
        <f>SUM(J15,J18,J25,J26,J30,J34,J37,J41)</f>
        <v>10572.869402499999</v>
      </c>
      <c r="K14" s="52">
        <f>I14+J14</f>
        <v>69366.343502499993</v>
      </c>
      <c r="L14" s="51">
        <f>SUM(L15,L18,L25,L26,L30,L34,L37,L41)</f>
        <v>63506.098200000008</v>
      </c>
      <c r="M14" s="51">
        <f>SUM(M15,M18,M25,M26,M30,M34,M37,M41)</f>
        <v>14795.427365000001</v>
      </c>
      <c r="N14" s="52">
        <f>L14+M14</f>
        <v>78301.525565000004</v>
      </c>
      <c r="O14" s="51">
        <f>SUM(O15,O18,O25,O26,O30,O34,O37,O41)</f>
        <v>68939.755100000009</v>
      </c>
      <c r="P14" s="51">
        <f>SUM(P15,P18,P25,P26,P30,P34,P37,P41)</f>
        <v>14834.689154999998</v>
      </c>
      <c r="Q14" s="52">
        <f>O14+P14</f>
        <v>83774.444255000009</v>
      </c>
      <c r="R14" s="55">
        <f>SUM(R15,R18,R25,R26,R30,R34,R37,R41)</f>
        <v>72238.777999999991</v>
      </c>
      <c r="S14" s="51">
        <f>SUM(S15,S18,S25,S26,S30,S34,S37,S41)</f>
        <v>15064.127045000001</v>
      </c>
      <c r="T14" s="52">
        <f>R14+S14</f>
        <v>87302.905044999992</v>
      </c>
      <c r="U14" s="55">
        <f>SUM(U15,U18,U25,U26,U30,U34,U37,U41)</f>
        <v>74095.718167500003</v>
      </c>
      <c r="V14" s="79">
        <f>SUM(E14,H14,K14,N14,Q14,T14)</f>
        <v>427651.21256750007</v>
      </c>
      <c r="W14" s="67"/>
      <c r="X14" s="16">
        <f>V15+V18+V25+V26+V30+V34+V37+V41</f>
        <v>427651.21256750007</v>
      </c>
      <c r="Y14" s="119"/>
      <c r="Z14" s="119"/>
      <c r="AA14" s="30">
        <f t="shared" ref="AA14:AR14" si="10">C8+C9+C10</f>
        <v>162848.70759999997</v>
      </c>
      <c r="AB14" s="30">
        <f t="shared" si="10"/>
        <v>77463.244000000006</v>
      </c>
      <c r="AC14" s="30">
        <f t="shared" si="10"/>
        <v>240311.95159999997</v>
      </c>
      <c r="AD14" s="30">
        <f t="shared" si="10"/>
        <v>158901.69210000001</v>
      </c>
      <c r="AE14" s="30">
        <f t="shared" si="10"/>
        <v>91588.793600000005</v>
      </c>
      <c r="AF14" s="30">
        <f t="shared" si="10"/>
        <v>250490.48570000002</v>
      </c>
      <c r="AG14" s="30">
        <f t="shared" si="10"/>
        <v>186948.9669</v>
      </c>
      <c r="AH14" s="30">
        <f t="shared" si="10"/>
        <v>105152.21580249998</v>
      </c>
      <c r="AI14" s="30">
        <f t="shared" si="10"/>
        <v>292101.18270250002</v>
      </c>
      <c r="AJ14" s="30">
        <f t="shared" si="10"/>
        <v>203515.53445000001</v>
      </c>
      <c r="AK14" s="30">
        <f t="shared" si="10"/>
        <v>111574.850215</v>
      </c>
      <c r="AL14" s="30">
        <f t="shared" si="10"/>
        <v>315090.38466499996</v>
      </c>
      <c r="AM14" s="30">
        <f t="shared" si="10"/>
        <v>211251.50040000002</v>
      </c>
      <c r="AN14" s="30">
        <f t="shared" si="10"/>
        <v>117188.97715499999</v>
      </c>
      <c r="AO14" s="30">
        <f t="shared" si="10"/>
        <v>328440.47755499999</v>
      </c>
      <c r="AP14" s="30">
        <f t="shared" si="10"/>
        <v>217919.94700000001</v>
      </c>
      <c r="AQ14" s="30">
        <f t="shared" si="10"/>
        <v>122715.50839499998</v>
      </c>
      <c r="AR14" s="30">
        <f t="shared" si="10"/>
        <v>340635.45539500006</v>
      </c>
    </row>
    <row r="15" spans="1:44" hidden="1" x14ac:dyDescent="0.2">
      <c r="A15" s="254">
        <v>1</v>
      </c>
      <c r="B15" s="68"/>
      <c r="C15" s="69"/>
      <c r="D15" s="70"/>
      <c r="E15" s="71"/>
      <c r="F15" s="70"/>
      <c r="G15" s="70"/>
      <c r="H15" s="71"/>
      <c r="I15" s="70"/>
      <c r="J15" s="70"/>
      <c r="K15" s="71"/>
      <c r="L15" s="69"/>
      <c r="M15" s="70"/>
      <c r="N15" s="71"/>
      <c r="O15" s="69"/>
      <c r="P15" s="70"/>
      <c r="Q15" s="71"/>
      <c r="R15" s="69"/>
      <c r="S15" s="70"/>
      <c r="T15" s="71"/>
      <c r="U15" s="42"/>
      <c r="V15" s="72"/>
      <c r="W15" s="73"/>
      <c r="X15" s="16">
        <f>U15+U18+U25+U26+U30+U34+U37+U41</f>
        <v>74095.718167500003</v>
      </c>
      <c r="Y15" s="119"/>
      <c r="Z15" s="119"/>
    </row>
    <row r="16" spans="1:44" hidden="1" x14ac:dyDescent="0.2">
      <c r="A16" s="254"/>
      <c r="B16" s="33"/>
      <c r="C16" s="10"/>
      <c r="D16" s="9"/>
      <c r="E16" s="3"/>
      <c r="F16" s="9"/>
      <c r="G16" s="9"/>
      <c r="H16" s="3"/>
      <c r="I16" s="9"/>
      <c r="J16" s="9"/>
      <c r="K16" s="3"/>
      <c r="L16" s="10"/>
      <c r="M16" s="9"/>
      <c r="N16" s="3"/>
      <c r="O16" s="10"/>
      <c r="P16" s="9"/>
      <c r="Q16" s="3"/>
      <c r="R16" s="10"/>
      <c r="S16" s="9"/>
      <c r="T16" s="3"/>
      <c r="U16" s="10"/>
      <c r="V16" s="74"/>
      <c r="W16" s="178"/>
      <c r="X16" s="16">
        <f>C14+F14+I14+L14+O14+R14</f>
        <v>353555.49440000003</v>
      </c>
      <c r="Y16" s="119"/>
      <c r="Z16" s="119"/>
    </row>
    <row r="17" spans="1:44" hidden="1" x14ac:dyDescent="0.2">
      <c r="A17" s="254"/>
      <c r="B17" s="34"/>
      <c r="C17" s="10"/>
      <c r="D17" s="9"/>
      <c r="E17" s="3"/>
      <c r="F17" s="9"/>
      <c r="G17" s="9"/>
      <c r="H17" s="3"/>
      <c r="I17" s="9"/>
      <c r="J17" s="9"/>
      <c r="K17" s="3"/>
      <c r="L17" s="10"/>
      <c r="M17" s="9"/>
      <c r="N17" s="11"/>
      <c r="O17" s="10"/>
      <c r="P17" s="9"/>
      <c r="Q17" s="3"/>
      <c r="R17" s="10"/>
      <c r="S17" s="9"/>
      <c r="T17" s="3"/>
      <c r="U17" s="10"/>
      <c r="V17" s="74"/>
      <c r="W17" s="178"/>
      <c r="X17" s="119"/>
      <c r="Y17" s="119"/>
      <c r="Z17" s="119"/>
    </row>
    <row r="18" spans="1:44" ht="25.5" x14ac:dyDescent="0.2">
      <c r="A18" s="254">
        <v>1</v>
      </c>
      <c r="B18" s="75" t="s">
        <v>4</v>
      </c>
      <c r="C18" s="2">
        <f>C20+C21+C22</f>
        <v>2405.0900999999999</v>
      </c>
      <c r="D18" s="1">
        <f>D20+D21+D22+D24</f>
        <v>1679.5187999999998</v>
      </c>
      <c r="E18" s="3">
        <f t="shared" ref="E18:E43" si="11">C18+D18</f>
        <v>4084.6088999999997</v>
      </c>
      <c r="F18" s="1">
        <f>F20+F21+F22</f>
        <v>2162.2979</v>
      </c>
      <c r="G18" s="1">
        <f>G20+G21+G22+G24</f>
        <v>2189.5410000000002</v>
      </c>
      <c r="H18" s="3">
        <f t="shared" ref="H18:H43" si="12">F18+G18</f>
        <v>4351.8389000000006</v>
      </c>
      <c r="I18" s="1">
        <f>I20+I21+I22+I23</f>
        <v>2625.5645</v>
      </c>
      <c r="J18" s="1">
        <f>J20+J21+J22+J23+J24</f>
        <v>2867.8746000000001</v>
      </c>
      <c r="K18" s="3">
        <f t="shared" ref="K18:K43" si="13">I18+J18</f>
        <v>5493.4390999999996</v>
      </c>
      <c r="L18" s="2">
        <f>L20+L21+L22+L23</f>
        <v>2449</v>
      </c>
      <c r="M18" s="1">
        <f>M20+M21+M22+M24</f>
        <v>2851.2277000000004</v>
      </c>
      <c r="N18" s="3">
        <f t="shared" ref="N18:N43" si="14">L18+M18</f>
        <v>5300.2277000000004</v>
      </c>
      <c r="O18" s="2">
        <f>O20+O21+O22</f>
        <v>2588.4691000000003</v>
      </c>
      <c r="P18" s="1">
        <f>P20+P21+P22+P24</f>
        <v>2837.1210000000001</v>
      </c>
      <c r="Q18" s="3">
        <f t="shared" ref="Q18:Q43" si="15">O18+P18</f>
        <v>5425.5901000000003</v>
      </c>
      <c r="R18" s="2">
        <f>R20+R21+R22</f>
        <v>2752.826</v>
      </c>
      <c r="S18" s="1">
        <f>S20+S21+S22+S24</f>
        <v>2821.0522000000001</v>
      </c>
      <c r="T18" s="3">
        <f>R18+S18</f>
        <v>5573.8782000000001</v>
      </c>
      <c r="U18" s="10">
        <f t="shared" ref="U18:V43" si="16">SUM(D18,G18,J18,M18,P18,S18)</f>
        <v>15246.335300000001</v>
      </c>
      <c r="V18" s="74">
        <f>SUM(E18,H18,K18,N18,Q18,T18)</f>
        <v>30229.582900000001</v>
      </c>
      <c r="W18" s="76"/>
      <c r="X18" s="19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</row>
    <row r="19" spans="1:44" x14ac:dyDescent="0.2">
      <c r="A19" s="254"/>
      <c r="B19" s="33" t="s">
        <v>2</v>
      </c>
      <c r="C19" s="10"/>
      <c r="D19" s="9"/>
      <c r="E19" s="3">
        <f t="shared" si="11"/>
        <v>0</v>
      </c>
      <c r="F19" s="9"/>
      <c r="G19" s="9"/>
      <c r="H19" s="3">
        <f t="shared" si="12"/>
        <v>0</v>
      </c>
      <c r="I19" s="9"/>
      <c r="J19" s="9"/>
      <c r="K19" s="3">
        <f t="shared" si="13"/>
        <v>0</v>
      </c>
      <c r="L19" s="10"/>
      <c r="M19" s="9"/>
      <c r="N19" s="3">
        <f t="shared" si="14"/>
        <v>0</v>
      </c>
      <c r="O19" s="10"/>
      <c r="P19" s="9"/>
      <c r="Q19" s="3">
        <f t="shared" si="15"/>
        <v>0</v>
      </c>
      <c r="R19" s="10"/>
      <c r="S19" s="9"/>
      <c r="T19" s="3">
        <f t="shared" ref="T19:T43" si="17">R19+S19</f>
        <v>0</v>
      </c>
      <c r="U19" s="10">
        <f t="shared" si="16"/>
        <v>0</v>
      </c>
      <c r="V19" s="74">
        <f t="shared" si="16"/>
        <v>0</v>
      </c>
      <c r="W19" s="77"/>
      <c r="X19" s="19"/>
      <c r="Y19" s="30"/>
      <c r="Z19" s="30"/>
    </row>
    <row r="20" spans="1:44" ht="25.5" x14ac:dyDescent="0.2">
      <c r="A20" s="254"/>
      <c r="B20" s="34" t="s">
        <v>5</v>
      </c>
      <c r="C20" s="10">
        <v>314.51119999999997</v>
      </c>
      <c r="D20" s="9">
        <v>451.17880000000002</v>
      </c>
      <c r="E20" s="3">
        <f t="shared" si="11"/>
        <v>765.69</v>
      </c>
      <c r="F20" s="9">
        <v>308.22059999999999</v>
      </c>
      <c r="G20" s="9">
        <f>582.9994+6.3</f>
        <v>589.29939999999999</v>
      </c>
      <c r="H20" s="3">
        <f t="shared" si="12"/>
        <v>897.52</v>
      </c>
      <c r="I20" s="9">
        <v>356.86099999999999</v>
      </c>
      <c r="J20" s="9">
        <v>629</v>
      </c>
      <c r="K20" s="3">
        <f t="shared" si="13"/>
        <v>985.86099999999999</v>
      </c>
      <c r="L20" s="10">
        <v>381.06229999999999</v>
      </c>
      <c r="M20" s="9">
        <v>622.8877</v>
      </c>
      <c r="N20" s="11">
        <f t="shared" si="14"/>
        <v>1003.95</v>
      </c>
      <c r="O20" s="10">
        <v>397.82900000000001</v>
      </c>
      <c r="P20" s="9">
        <v>608.78099999999995</v>
      </c>
      <c r="Q20" s="3">
        <f t="shared" si="15"/>
        <v>1006.6099999999999</v>
      </c>
      <c r="R20" s="10">
        <v>414.5378</v>
      </c>
      <c r="S20" s="9">
        <v>592.71220000000005</v>
      </c>
      <c r="T20" s="3">
        <f t="shared" si="17"/>
        <v>1007.25</v>
      </c>
      <c r="U20" s="10">
        <f t="shared" si="16"/>
        <v>3493.8590999999997</v>
      </c>
      <c r="V20" s="74">
        <f t="shared" si="16"/>
        <v>5666.8809999999994</v>
      </c>
      <c r="W20" s="77"/>
      <c r="X20" s="19"/>
      <c r="Y20" s="30"/>
      <c r="Z20" s="30"/>
    </row>
    <row r="21" spans="1:44" ht="25.5" x14ac:dyDescent="0.2">
      <c r="A21" s="254"/>
      <c r="B21" s="34" t="s">
        <v>6</v>
      </c>
      <c r="C21" s="10">
        <v>110.0789</v>
      </c>
      <c r="D21" s="9"/>
      <c r="E21" s="3">
        <f t="shared" si="11"/>
        <v>110.0789</v>
      </c>
      <c r="F21" s="9">
        <v>107.87730000000001</v>
      </c>
      <c r="G21" s="9">
        <v>2.2016</v>
      </c>
      <c r="H21" s="3">
        <f t="shared" si="12"/>
        <v>110.0789</v>
      </c>
      <c r="I21" s="9">
        <v>124.90130000000001</v>
      </c>
      <c r="J21" s="9">
        <v>2.5</v>
      </c>
      <c r="K21" s="3">
        <f t="shared" si="13"/>
        <v>127.40130000000001</v>
      </c>
      <c r="L21" s="10">
        <v>133.37180000000001</v>
      </c>
      <c r="M21" s="9"/>
      <c r="N21" s="11">
        <f t="shared" si="14"/>
        <v>133.37180000000001</v>
      </c>
      <c r="O21" s="10">
        <v>139.24010000000001</v>
      </c>
      <c r="P21" s="9"/>
      <c r="Q21" s="3">
        <f t="shared" si="15"/>
        <v>139.24010000000001</v>
      </c>
      <c r="R21" s="10">
        <v>145.0882</v>
      </c>
      <c r="S21" s="9"/>
      <c r="T21" s="3">
        <f t="shared" si="17"/>
        <v>145.0882</v>
      </c>
      <c r="U21" s="10">
        <f t="shared" si="16"/>
        <v>4.7016</v>
      </c>
      <c r="V21" s="74">
        <f t="shared" si="16"/>
        <v>765.25920000000008</v>
      </c>
      <c r="W21" s="77"/>
      <c r="X21" s="19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</row>
    <row r="22" spans="1:44" ht="27" customHeight="1" x14ac:dyDescent="0.2">
      <c r="A22" s="254"/>
      <c r="B22" s="34" t="s">
        <v>120</v>
      </c>
      <c r="C22" s="10">
        <v>1980.5</v>
      </c>
      <c r="D22" s="9"/>
      <c r="E22" s="3">
        <f t="shared" si="11"/>
        <v>1980.5</v>
      </c>
      <c r="F22" s="9">
        <v>1746.2</v>
      </c>
      <c r="G22" s="9">
        <v>369.7</v>
      </c>
      <c r="H22" s="3">
        <f t="shared" si="12"/>
        <v>2115.9</v>
      </c>
      <c r="I22" s="9">
        <v>1857.6</v>
      </c>
      <c r="J22" s="9">
        <v>0</v>
      </c>
      <c r="K22" s="3">
        <f t="shared" si="13"/>
        <v>1857.6</v>
      </c>
      <c r="L22" s="10">
        <v>1617.1</v>
      </c>
      <c r="M22" s="9">
        <v>0</v>
      </c>
      <c r="N22" s="11">
        <f t="shared" si="14"/>
        <v>1617.1</v>
      </c>
      <c r="O22" s="10">
        <v>2051.4</v>
      </c>
      <c r="P22" s="9">
        <v>0</v>
      </c>
      <c r="Q22" s="3">
        <f t="shared" si="15"/>
        <v>2051.4</v>
      </c>
      <c r="R22" s="10">
        <v>2193.1999999999998</v>
      </c>
      <c r="S22" s="9">
        <v>0</v>
      </c>
      <c r="T22" s="3">
        <f t="shared" si="17"/>
        <v>2193.1999999999998</v>
      </c>
      <c r="U22" s="10">
        <f t="shared" si="16"/>
        <v>369.7</v>
      </c>
      <c r="V22" s="74">
        <f t="shared" si="16"/>
        <v>11815.7</v>
      </c>
      <c r="W22" s="77"/>
      <c r="X22" s="19" t="s">
        <v>157</v>
      </c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</row>
    <row r="23" spans="1:44" x14ac:dyDescent="0.2">
      <c r="A23" s="254"/>
      <c r="B23" s="34" t="s">
        <v>20</v>
      </c>
      <c r="C23" s="10"/>
      <c r="D23" s="9"/>
      <c r="E23" s="3">
        <f t="shared" si="11"/>
        <v>0</v>
      </c>
      <c r="F23" s="9"/>
      <c r="G23" s="9"/>
      <c r="H23" s="3">
        <f t="shared" si="12"/>
        <v>0</v>
      </c>
      <c r="I23" s="9">
        <v>286.2022</v>
      </c>
      <c r="J23" s="9">
        <v>8.0346000000000117</v>
      </c>
      <c r="K23" s="3">
        <f t="shared" si="13"/>
        <v>294.23680000000002</v>
      </c>
      <c r="L23" s="10">
        <v>317.46589999999998</v>
      </c>
      <c r="M23" s="9"/>
      <c r="N23" s="11">
        <f>SUM(L23:M23)</f>
        <v>317.46589999999998</v>
      </c>
      <c r="O23" s="10"/>
      <c r="P23" s="9"/>
      <c r="Q23" s="3">
        <f t="shared" si="15"/>
        <v>0</v>
      </c>
      <c r="R23" s="10"/>
      <c r="S23" s="9"/>
      <c r="T23" s="3">
        <f t="shared" si="17"/>
        <v>0</v>
      </c>
      <c r="U23" s="10">
        <f t="shared" si="16"/>
        <v>8.0346000000000117</v>
      </c>
      <c r="V23" s="74">
        <f>SUM(E23,H23,K23,N23,Q23,T23)</f>
        <v>611.70270000000005</v>
      </c>
      <c r="W23" s="77"/>
      <c r="X23" s="19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</row>
    <row r="24" spans="1:44" x14ac:dyDescent="0.2">
      <c r="A24" s="254"/>
      <c r="B24" s="34" t="s">
        <v>136</v>
      </c>
      <c r="C24" s="10"/>
      <c r="D24" s="9">
        <v>1228.3399999999999</v>
      </c>
      <c r="E24" s="3">
        <f t="shared" si="11"/>
        <v>1228.3399999999999</v>
      </c>
      <c r="F24" s="9"/>
      <c r="G24" s="9">
        <v>1228.3399999999999</v>
      </c>
      <c r="H24" s="3">
        <f t="shared" si="12"/>
        <v>1228.3399999999999</v>
      </c>
      <c r="I24" s="9"/>
      <c r="J24" s="9">
        <v>2228.34</v>
      </c>
      <c r="K24" s="3">
        <f t="shared" si="13"/>
        <v>2228.34</v>
      </c>
      <c r="L24" s="10"/>
      <c r="M24" s="9">
        <v>2228.34</v>
      </c>
      <c r="N24" s="3">
        <f t="shared" si="14"/>
        <v>2228.34</v>
      </c>
      <c r="O24" s="10"/>
      <c r="P24" s="9">
        <v>2228.34</v>
      </c>
      <c r="Q24" s="3">
        <f t="shared" si="15"/>
        <v>2228.34</v>
      </c>
      <c r="R24" s="10"/>
      <c r="S24" s="9">
        <v>2228.34</v>
      </c>
      <c r="T24" s="3">
        <f t="shared" si="17"/>
        <v>2228.34</v>
      </c>
      <c r="U24" s="10">
        <f t="shared" si="16"/>
        <v>11370.04</v>
      </c>
      <c r="V24" s="74">
        <f t="shared" si="16"/>
        <v>11370.04</v>
      </c>
      <c r="W24" s="77"/>
      <c r="X24" s="19" t="s">
        <v>156</v>
      </c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</row>
    <row r="25" spans="1:44" ht="34.5" customHeight="1" x14ac:dyDescent="0.2">
      <c r="A25" s="84">
        <v>2</v>
      </c>
      <c r="B25" s="75" t="s">
        <v>7</v>
      </c>
      <c r="C25" s="2">
        <v>1000</v>
      </c>
      <c r="D25" s="1"/>
      <c r="E25" s="3">
        <f t="shared" si="11"/>
        <v>1000</v>
      </c>
      <c r="F25" s="1">
        <v>1000</v>
      </c>
      <c r="G25" s="1"/>
      <c r="H25" s="3">
        <f t="shared" si="12"/>
        <v>1000</v>
      </c>
      <c r="I25" s="1">
        <v>1000</v>
      </c>
      <c r="J25" s="9"/>
      <c r="K25" s="3">
        <f t="shared" si="13"/>
        <v>1000</v>
      </c>
      <c r="L25" s="2">
        <v>3132.2076999999999</v>
      </c>
      <c r="M25" s="9"/>
      <c r="N25" s="3">
        <f t="shared" si="14"/>
        <v>3132.2076999999999</v>
      </c>
      <c r="O25" s="2">
        <v>2786.0324999999998</v>
      </c>
      <c r="P25" s="9"/>
      <c r="Q25" s="3">
        <f t="shared" si="15"/>
        <v>2786.0324999999998</v>
      </c>
      <c r="R25" s="2">
        <v>2931.4823999999999</v>
      </c>
      <c r="S25" s="9"/>
      <c r="T25" s="3">
        <f t="shared" si="17"/>
        <v>2931.4823999999999</v>
      </c>
      <c r="U25" s="10">
        <f t="shared" si="16"/>
        <v>0</v>
      </c>
      <c r="V25" s="74">
        <f>SUM(E25,H25,K25,N25,Q25,T25)</f>
        <v>11849.722600000001</v>
      </c>
      <c r="W25" s="76"/>
      <c r="X25" s="19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</row>
    <row r="26" spans="1:44" ht="25.5" customHeight="1" x14ac:dyDescent="0.2">
      <c r="A26" s="254">
        <v>3</v>
      </c>
      <c r="B26" s="75" t="s">
        <v>8</v>
      </c>
      <c r="C26" s="2">
        <f>C29+C28</f>
        <v>707.64260000000002</v>
      </c>
      <c r="D26" s="1">
        <f>D28</f>
        <v>0</v>
      </c>
      <c r="E26" s="3">
        <f t="shared" si="11"/>
        <v>707.64260000000002</v>
      </c>
      <c r="F26" s="1">
        <v>693.48970000000008</v>
      </c>
      <c r="G26" s="1">
        <v>14.152899999999931</v>
      </c>
      <c r="H26" s="3">
        <f t="shared" si="12"/>
        <v>707.64260000000002</v>
      </c>
      <c r="I26" s="1">
        <v>802.92869999999994</v>
      </c>
      <c r="J26" s="1">
        <v>15.964300000000094</v>
      </c>
      <c r="K26" s="3">
        <f t="shared" si="13"/>
        <v>818.89300000000003</v>
      </c>
      <c r="L26" s="2">
        <f>L28+L29</f>
        <v>857.38100000000009</v>
      </c>
      <c r="M26" s="1">
        <f>M28+M29</f>
        <v>0</v>
      </c>
      <c r="N26" s="3">
        <f t="shared" si="14"/>
        <v>857.38100000000009</v>
      </c>
      <c r="O26" s="2">
        <f>O28+O29</f>
        <v>895.10580000000004</v>
      </c>
      <c r="P26" s="1">
        <f>P28+P29</f>
        <v>0</v>
      </c>
      <c r="Q26" s="3">
        <f t="shared" si="15"/>
        <v>895.10580000000004</v>
      </c>
      <c r="R26" s="2">
        <f>R28+R29</f>
        <v>932.7002</v>
      </c>
      <c r="S26" s="1">
        <f>S28+S29</f>
        <v>0</v>
      </c>
      <c r="T26" s="3">
        <f t="shared" si="17"/>
        <v>932.7002</v>
      </c>
      <c r="U26" s="10">
        <f t="shared" si="16"/>
        <v>30.117200000000025</v>
      </c>
      <c r="V26" s="74">
        <f t="shared" si="16"/>
        <v>4919.3652000000011</v>
      </c>
      <c r="W26" s="77"/>
      <c r="X26" s="19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</row>
    <row r="27" spans="1:44" ht="20.25" customHeight="1" x14ac:dyDescent="0.2">
      <c r="A27" s="254"/>
      <c r="B27" s="33" t="s">
        <v>2</v>
      </c>
      <c r="C27" s="10"/>
      <c r="D27" s="9"/>
      <c r="E27" s="3">
        <f t="shared" si="11"/>
        <v>0</v>
      </c>
      <c r="F27" s="9"/>
      <c r="G27" s="9"/>
      <c r="H27" s="3">
        <f t="shared" si="12"/>
        <v>0</v>
      </c>
      <c r="I27" s="9"/>
      <c r="J27" s="9"/>
      <c r="K27" s="3">
        <f t="shared" si="13"/>
        <v>0</v>
      </c>
      <c r="L27" s="10"/>
      <c r="M27" s="9"/>
      <c r="N27" s="11">
        <f t="shared" si="14"/>
        <v>0</v>
      </c>
      <c r="O27" s="10"/>
      <c r="P27" s="9"/>
      <c r="Q27" s="3">
        <f t="shared" si="15"/>
        <v>0</v>
      </c>
      <c r="R27" s="10"/>
      <c r="S27" s="9"/>
      <c r="T27" s="3">
        <f t="shared" si="17"/>
        <v>0</v>
      </c>
      <c r="U27" s="10">
        <f t="shared" si="16"/>
        <v>0</v>
      </c>
      <c r="V27" s="74">
        <f t="shared" si="16"/>
        <v>0</v>
      </c>
      <c r="W27" s="77"/>
      <c r="X27" s="19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</row>
    <row r="28" spans="1:44" ht="20.25" customHeight="1" x14ac:dyDescent="0.2">
      <c r="A28" s="254"/>
      <c r="B28" s="34" t="s">
        <v>9</v>
      </c>
      <c r="C28" s="10">
        <v>445.55</v>
      </c>
      <c r="D28" s="9">
        <v>0</v>
      </c>
      <c r="E28" s="3">
        <f t="shared" si="11"/>
        <v>445.55</v>
      </c>
      <c r="F28" s="12">
        <v>436.63900000000001</v>
      </c>
      <c r="G28" s="9"/>
      <c r="H28" s="3">
        <f t="shared" si="12"/>
        <v>436.63900000000001</v>
      </c>
      <c r="I28" s="12">
        <v>505.5446</v>
      </c>
      <c r="J28" s="9"/>
      <c r="K28" s="3">
        <f t="shared" si="13"/>
        <v>505.5446</v>
      </c>
      <c r="L28" s="10">
        <v>539.82910000000004</v>
      </c>
      <c r="M28" s="9"/>
      <c r="N28" s="11">
        <f t="shared" si="14"/>
        <v>539.82910000000004</v>
      </c>
      <c r="O28" s="10">
        <v>563.58159999999998</v>
      </c>
      <c r="P28" s="9"/>
      <c r="Q28" s="3">
        <f t="shared" si="15"/>
        <v>563.58159999999998</v>
      </c>
      <c r="R28" s="10">
        <v>587.25199999999995</v>
      </c>
      <c r="S28" s="9"/>
      <c r="T28" s="3">
        <f t="shared" si="17"/>
        <v>587.25199999999995</v>
      </c>
      <c r="U28" s="10">
        <f t="shared" si="16"/>
        <v>0</v>
      </c>
      <c r="V28" s="74">
        <f t="shared" si="16"/>
        <v>3078.3962999999999</v>
      </c>
      <c r="W28" s="77"/>
      <c r="X28" s="19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</row>
    <row r="29" spans="1:44" ht="20.25" customHeight="1" thickBot="1" x14ac:dyDescent="0.25">
      <c r="A29" s="254"/>
      <c r="B29" s="34" t="s">
        <v>10</v>
      </c>
      <c r="C29" s="10">
        <v>262.0926</v>
      </c>
      <c r="E29" s="3">
        <f t="shared" si="11"/>
        <v>262.0926</v>
      </c>
      <c r="F29" s="12">
        <v>256.85070000000002</v>
      </c>
      <c r="G29" s="9"/>
      <c r="H29" s="3">
        <f t="shared" si="12"/>
        <v>256.85070000000002</v>
      </c>
      <c r="I29" s="12">
        <v>297.38409999999999</v>
      </c>
      <c r="J29" s="9"/>
      <c r="K29" s="3">
        <f t="shared" si="13"/>
        <v>297.38409999999999</v>
      </c>
      <c r="L29" s="10">
        <v>317.55189999999999</v>
      </c>
      <c r="M29" s="9"/>
      <c r="N29" s="11">
        <f t="shared" si="14"/>
        <v>317.55189999999999</v>
      </c>
      <c r="O29" s="10">
        <v>331.52420000000001</v>
      </c>
      <c r="P29" s="9"/>
      <c r="Q29" s="3">
        <f t="shared" si="15"/>
        <v>331.52420000000001</v>
      </c>
      <c r="R29" s="10">
        <v>345.44819999999999</v>
      </c>
      <c r="S29" s="9"/>
      <c r="T29" s="3">
        <f t="shared" si="17"/>
        <v>345.44819999999999</v>
      </c>
      <c r="U29" s="10">
        <f t="shared" si="16"/>
        <v>0</v>
      </c>
      <c r="V29" s="74">
        <f t="shared" si="16"/>
        <v>1810.8517000000002</v>
      </c>
      <c r="W29" s="77"/>
      <c r="X29" s="19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</row>
    <row r="30" spans="1:44" ht="38.25" customHeight="1" x14ac:dyDescent="0.2">
      <c r="A30" s="254">
        <v>4</v>
      </c>
      <c r="B30" s="75" t="s">
        <v>11</v>
      </c>
      <c r="C30" s="2">
        <f>C32+C33</f>
        <v>16973.743299999998</v>
      </c>
      <c r="D30" s="1">
        <f>D32+D33</f>
        <v>6139</v>
      </c>
      <c r="E30" s="3">
        <f t="shared" si="11"/>
        <v>23112.743299999998</v>
      </c>
      <c r="F30" s="1">
        <f>F32+F33</f>
        <v>16785.113300000001</v>
      </c>
      <c r="G30" s="1">
        <f>G32+G33</f>
        <v>5263.5525000000007</v>
      </c>
      <c r="H30" s="3">
        <f t="shared" si="12"/>
        <v>22048.665800000002</v>
      </c>
      <c r="I30" s="1">
        <f>I32+I33</f>
        <v>18859.850899999998</v>
      </c>
      <c r="J30" s="1">
        <f>J32+J33</f>
        <v>4949.2584025000006</v>
      </c>
      <c r="K30" s="3">
        <f t="shared" si="13"/>
        <v>23809.109302499997</v>
      </c>
      <c r="L30" s="2">
        <f>L32+L33</f>
        <v>13960.064700000001</v>
      </c>
      <c r="M30" s="1">
        <f>M32+M33</f>
        <v>9944.1729650000016</v>
      </c>
      <c r="N30" s="3">
        <f t="shared" si="14"/>
        <v>23904.237665000001</v>
      </c>
      <c r="O30" s="2">
        <f>O32+O33</f>
        <v>14623.916299999999</v>
      </c>
      <c r="P30" s="1">
        <f>P32+P33</f>
        <v>9997.533954999999</v>
      </c>
      <c r="Q30" s="3">
        <f t="shared" si="15"/>
        <v>24621.450254999996</v>
      </c>
      <c r="R30" s="2">
        <f>R32+R33</f>
        <v>15366.4136</v>
      </c>
      <c r="S30" s="1">
        <f>S32+S33</f>
        <v>10243.095545</v>
      </c>
      <c r="T30" s="3">
        <f t="shared" si="17"/>
        <v>25609.509145</v>
      </c>
      <c r="U30" s="10">
        <f t="shared" si="16"/>
        <v>46536.613367500002</v>
      </c>
      <c r="V30" s="74">
        <f t="shared" si="16"/>
        <v>143105.71546750001</v>
      </c>
      <c r="W30" s="76"/>
      <c r="X30" s="114">
        <f>D30+G30+J30+M30+P30+S30</f>
        <v>46536.613367500002</v>
      </c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</row>
    <row r="31" spans="1:44" ht="15" customHeight="1" x14ac:dyDescent="0.2">
      <c r="A31" s="254"/>
      <c r="B31" s="33" t="s">
        <v>2</v>
      </c>
      <c r="C31" s="10"/>
      <c r="D31" s="9"/>
      <c r="E31" s="3">
        <f t="shared" si="11"/>
        <v>0</v>
      </c>
      <c r="F31" s="9"/>
      <c r="G31" s="9"/>
      <c r="H31" s="3">
        <f t="shared" si="12"/>
        <v>0</v>
      </c>
      <c r="I31" s="9"/>
      <c r="J31" s="9"/>
      <c r="K31" s="3">
        <f t="shared" si="13"/>
        <v>0</v>
      </c>
      <c r="L31" s="10"/>
      <c r="M31" s="9"/>
      <c r="N31" s="3">
        <f t="shared" si="14"/>
        <v>0</v>
      </c>
      <c r="O31" s="10"/>
      <c r="P31" s="9"/>
      <c r="Q31" s="3">
        <f t="shared" si="15"/>
        <v>0</v>
      </c>
      <c r="R31" s="10"/>
      <c r="S31" s="9"/>
      <c r="T31" s="3">
        <f t="shared" si="17"/>
        <v>0</v>
      </c>
      <c r="U31" s="10">
        <f t="shared" si="16"/>
        <v>0</v>
      </c>
      <c r="V31" s="74">
        <f t="shared" si="16"/>
        <v>0</v>
      </c>
      <c r="W31" s="77"/>
      <c r="X31" s="19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</row>
    <row r="32" spans="1:44" ht="25.5" customHeight="1" x14ac:dyDescent="0.2">
      <c r="A32" s="254"/>
      <c r="B32" s="34" t="s">
        <v>119</v>
      </c>
      <c r="C32" s="10">
        <v>7542.2452999999996</v>
      </c>
      <c r="D32" s="9">
        <v>250</v>
      </c>
      <c r="E32" s="3">
        <f t="shared" si="11"/>
        <v>7792.2452999999996</v>
      </c>
      <c r="F32" s="9">
        <v>7542.2452999999996</v>
      </c>
      <c r="G32" s="9">
        <v>517.32250000000113</v>
      </c>
      <c r="H32" s="3">
        <f t="shared" si="12"/>
        <v>8059.5678000000007</v>
      </c>
      <c r="I32" s="9">
        <v>7542.2452999999996</v>
      </c>
      <c r="J32" s="9">
        <v>499.15840250000019</v>
      </c>
      <c r="K32" s="3">
        <f t="shared" si="13"/>
        <v>8041.4037024999998</v>
      </c>
      <c r="L32" s="10">
        <v>2690.652</v>
      </c>
      <c r="M32" s="9">
        <f>4851.5933+(4851.5933/100*5)+250</f>
        <v>5344.1729650000007</v>
      </c>
      <c r="N32" s="11">
        <f t="shared" si="14"/>
        <v>8034.8249650000007</v>
      </c>
      <c r="O32" s="10">
        <v>2830.3081999999999</v>
      </c>
      <c r="P32" s="9">
        <f>4711.9371+(4711.9371/100*5)+250</f>
        <v>5197.5339549999999</v>
      </c>
      <c r="Q32" s="3">
        <f t="shared" si="15"/>
        <v>8027.8421550000003</v>
      </c>
      <c r="R32" s="10">
        <v>2977.3924000000002</v>
      </c>
      <c r="S32" s="9">
        <f>4564.8529+(4564.8529/100*5)+250</f>
        <v>5043.0955450000001</v>
      </c>
      <c r="T32" s="3">
        <f t="shared" si="17"/>
        <v>8020.4879450000008</v>
      </c>
      <c r="U32" s="10">
        <f t="shared" si="16"/>
        <v>16851.2833675</v>
      </c>
      <c r="V32" s="74">
        <f t="shared" si="16"/>
        <v>47976.371867499998</v>
      </c>
      <c r="W32" s="77"/>
      <c r="X32" s="19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</row>
    <row r="33" spans="1:44" ht="38.25" customHeight="1" x14ac:dyDescent="0.2">
      <c r="A33" s="254"/>
      <c r="B33" s="238" t="s">
        <v>12</v>
      </c>
      <c r="C33" s="10">
        <v>9431.4979999999996</v>
      </c>
      <c r="D33" s="237">
        <v>5889</v>
      </c>
      <c r="E33" s="3">
        <f t="shared" si="11"/>
        <v>15320.498</v>
      </c>
      <c r="F33" s="9">
        <v>9242.8680000000004</v>
      </c>
      <c r="G33" s="9">
        <v>4746.2299999999996</v>
      </c>
      <c r="H33" s="3">
        <f t="shared" si="12"/>
        <v>13989.098</v>
      </c>
      <c r="I33" s="9">
        <v>11317.605599999999</v>
      </c>
      <c r="J33" s="9">
        <v>4450.1000000000004</v>
      </c>
      <c r="K33" s="3">
        <f t="shared" si="13"/>
        <v>15767.705599999999</v>
      </c>
      <c r="L33" s="10">
        <v>11269.412700000001</v>
      </c>
      <c r="M33" s="9">
        <v>4600</v>
      </c>
      <c r="N33" s="11">
        <f t="shared" si="14"/>
        <v>15869.412700000001</v>
      </c>
      <c r="O33" s="10">
        <v>11793.608099999999</v>
      </c>
      <c r="P33" s="9">
        <v>4800</v>
      </c>
      <c r="Q33" s="3">
        <f t="shared" si="15"/>
        <v>16593.608099999998</v>
      </c>
      <c r="R33" s="10">
        <v>12389.021199999999</v>
      </c>
      <c r="S33" s="9">
        <v>5200</v>
      </c>
      <c r="T33" s="3">
        <f t="shared" si="17"/>
        <v>17589.021199999999</v>
      </c>
      <c r="U33" s="10">
        <f t="shared" si="16"/>
        <v>29685.33</v>
      </c>
      <c r="V33" s="74">
        <f t="shared" si="16"/>
        <v>95129.343600000007</v>
      </c>
      <c r="W33" s="77"/>
      <c r="X33" s="19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</row>
    <row r="34" spans="1:44" ht="20.25" customHeight="1" x14ac:dyDescent="0.2">
      <c r="A34" s="254">
        <v>5</v>
      </c>
      <c r="B34" s="75" t="s">
        <v>13</v>
      </c>
      <c r="C34" s="115">
        <f>SUM(C36)</f>
        <v>4997</v>
      </c>
      <c r="D34" s="1">
        <f>SUM(D36)</f>
        <v>1000</v>
      </c>
      <c r="E34" s="3">
        <f t="shared" si="11"/>
        <v>5997</v>
      </c>
      <c r="F34" s="115">
        <f>SUM(F36)</f>
        <v>4897.0600000000004</v>
      </c>
      <c r="G34" s="1">
        <f>SUM(G36)</f>
        <v>2099.9399999999996</v>
      </c>
      <c r="H34" s="3">
        <f t="shared" si="12"/>
        <v>6997</v>
      </c>
      <c r="I34" s="115">
        <f>SUM(I36)</f>
        <v>5669.8599000000004</v>
      </c>
      <c r="J34" s="1">
        <f>SUM(J36)</f>
        <v>2112.7316000000001</v>
      </c>
      <c r="K34" s="3">
        <f t="shared" si="13"/>
        <v>7782.5915000000005</v>
      </c>
      <c r="L34" s="115">
        <f>SUM(L36)</f>
        <v>6054.3733000000002</v>
      </c>
      <c r="M34" s="1">
        <f>SUM(M36)</f>
        <v>2000.0266999999999</v>
      </c>
      <c r="N34" s="3">
        <f t="shared" si="14"/>
        <v>8054.4</v>
      </c>
      <c r="O34" s="115">
        <f>SUM(O36)</f>
        <v>6320.7658000000001</v>
      </c>
      <c r="P34" s="1">
        <f>SUM(P36)</f>
        <v>2000.0342000000001</v>
      </c>
      <c r="Q34" s="3">
        <f t="shared" si="15"/>
        <v>8320.7999999999993</v>
      </c>
      <c r="R34" s="115">
        <f>SUM(R36)</f>
        <v>6777.4206999999997</v>
      </c>
      <c r="S34" s="1">
        <f>SUM(S36)</f>
        <v>1999.9793</v>
      </c>
      <c r="T34" s="3">
        <f t="shared" si="17"/>
        <v>8777.4</v>
      </c>
      <c r="U34" s="10">
        <f t="shared" si="16"/>
        <v>11212.711800000001</v>
      </c>
      <c r="V34" s="74">
        <f>SUM(E34,H34,K34,N34,Q34,T34)</f>
        <v>45929.191500000008</v>
      </c>
      <c r="W34" s="270"/>
      <c r="X34" s="271"/>
      <c r="Y34" s="30"/>
      <c r="Z34" s="30"/>
    </row>
    <row r="35" spans="1:44" x14ac:dyDescent="0.2">
      <c r="A35" s="254"/>
      <c r="B35" s="33" t="s">
        <v>2</v>
      </c>
      <c r="C35" s="10"/>
      <c r="D35" s="9"/>
      <c r="E35" s="3">
        <f t="shared" si="11"/>
        <v>0</v>
      </c>
      <c r="F35" s="9"/>
      <c r="G35" s="9"/>
      <c r="H35" s="3">
        <f t="shared" si="12"/>
        <v>0</v>
      </c>
      <c r="I35" s="9"/>
      <c r="J35" s="9"/>
      <c r="K35" s="3">
        <f t="shared" si="13"/>
        <v>0</v>
      </c>
      <c r="L35" s="10"/>
      <c r="M35" s="9"/>
      <c r="N35" s="11">
        <f t="shared" si="14"/>
        <v>0</v>
      </c>
      <c r="O35" s="10"/>
      <c r="P35" s="9"/>
      <c r="Q35" s="3">
        <f t="shared" si="15"/>
        <v>0</v>
      </c>
      <c r="R35" s="10"/>
      <c r="S35" s="9"/>
      <c r="T35" s="3">
        <f t="shared" si="17"/>
        <v>0</v>
      </c>
      <c r="U35" s="10">
        <f t="shared" si="16"/>
        <v>0</v>
      </c>
      <c r="V35" s="74">
        <f t="shared" si="16"/>
        <v>0</v>
      </c>
      <c r="W35" s="270"/>
      <c r="X35" s="271"/>
      <c r="Y35" s="30"/>
      <c r="Z35" s="30"/>
    </row>
    <row r="36" spans="1:44" ht="25.5" x14ac:dyDescent="0.2">
      <c r="A36" s="254"/>
      <c r="B36" s="34" t="s">
        <v>14</v>
      </c>
      <c r="C36" s="10">
        <v>4997</v>
      </c>
      <c r="D36" s="9">
        <v>1000</v>
      </c>
      <c r="E36" s="3">
        <f t="shared" si="11"/>
        <v>5997</v>
      </c>
      <c r="F36" s="9">
        <v>4897.0600000000004</v>
      </c>
      <c r="G36" s="9">
        <v>2099.9399999999996</v>
      </c>
      <c r="H36" s="3">
        <f t="shared" si="12"/>
        <v>6997</v>
      </c>
      <c r="I36" s="9">
        <v>5669.8599000000004</v>
      </c>
      <c r="J36" s="9">
        <v>2112.7316000000001</v>
      </c>
      <c r="K36" s="3">
        <f t="shared" si="13"/>
        <v>7782.5915000000005</v>
      </c>
      <c r="L36" s="10">
        <v>6054.3733000000002</v>
      </c>
      <c r="M36" s="9">
        <v>2000.0266999999999</v>
      </c>
      <c r="N36" s="11">
        <f t="shared" si="14"/>
        <v>8054.4</v>
      </c>
      <c r="O36" s="10">
        <v>6320.7658000000001</v>
      </c>
      <c r="P36" s="9">
        <v>2000.0342000000001</v>
      </c>
      <c r="Q36" s="3">
        <f t="shared" si="15"/>
        <v>8320.7999999999993</v>
      </c>
      <c r="R36" s="10">
        <v>6777.4206999999997</v>
      </c>
      <c r="S36" s="9">
        <v>1999.9793</v>
      </c>
      <c r="T36" s="3">
        <f t="shared" si="17"/>
        <v>8777.4</v>
      </c>
      <c r="U36" s="10">
        <f t="shared" si="16"/>
        <v>11212.711800000001</v>
      </c>
      <c r="V36" s="74">
        <f t="shared" si="16"/>
        <v>45929.191500000008</v>
      </c>
      <c r="W36" s="270"/>
      <c r="X36" s="271"/>
      <c r="Y36" s="30"/>
      <c r="Z36" s="30"/>
    </row>
    <row r="37" spans="1:44" ht="12.75" customHeight="1" x14ac:dyDescent="0.2">
      <c r="A37" s="254">
        <v>6</v>
      </c>
      <c r="B37" s="75" t="s">
        <v>15</v>
      </c>
      <c r="C37" s="2">
        <f>C39+C40</f>
        <v>4461.7434999999996</v>
      </c>
      <c r="D37" s="1">
        <f>D39+D40</f>
        <v>25.2</v>
      </c>
      <c r="E37" s="3">
        <f t="shared" si="11"/>
        <v>4486.9434999999994</v>
      </c>
      <c r="F37" s="1">
        <f>F39+F40</f>
        <v>4373.2085999999999</v>
      </c>
      <c r="G37" s="1">
        <f>G39+G40</f>
        <v>113.7</v>
      </c>
      <c r="H37" s="3">
        <f t="shared" si="12"/>
        <v>4486.9085999999998</v>
      </c>
      <c r="I37" s="1">
        <f>I39+I40</f>
        <v>5057.8167999999996</v>
      </c>
      <c r="J37" s="1">
        <f>J39+J40</f>
        <v>134.4</v>
      </c>
      <c r="K37" s="3">
        <f t="shared" si="13"/>
        <v>5192.2167999999992</v>
      </c>
      <c r="L37" s="2">
        <f>L39+L40</f>
        <v>5436.2746999999999</v>
      </c>
      <c r="M37" s="1">
        <f>M39+M40</f>
        <v>0</v>
      </c>
      <c r="N37" s="3">
        <f t="shared" si="14"/>
        <v>5436.2746999999999</v>
      </c>
      <c r="O37" s="2">
        <f>O39+O40</f>
        <v>5675.4708000000001</v>
      </c>
      <c r="P37" s="1">
        <f>P39+P40</f>
        <v>0</v>
      </c>
      <c r="Q37" s="3">
        <f t="shared" si="15"/>
        <v>5675.4708000000001</v>
      </c>
      <c r="R37" s="2">
        <f>R39+R40</f>
        <v>5913.8406000000004</v>
      </c>
      <c r="S37" s="1">
        <f>S39+S40</f>
        <v>0</v>
      </c>
      <c r="T37" s="3">
        <f t="shared" si="17"/>
        <v>5913.8406000000004</v>
      </c>
      <c r="U37" s="10">
        <f t="shared" si="16"/>
        <v>273.3</v>
      </c>
      <c r="V37" s="74">
        <f t="shared" si="16"/>
        <v>31191.654999999999</v>
      </c>
      <c r="W37" s="76"/>
      <c r="X37" s="271">
        <f>U37+W37</f>
        <v>273.3</v>
      </c>
      <c r="Y37" s="30"/>
      <c r="Z37" s="30"/>
    </row>
    <row r="38" spans="1:44" ht="12.75" customHeight="1" x14ac:dyDescent="0.2">
      <c r="A38" s="254"/>
      <c r="B38" s="33" t="s">
        <v>2</v>
      </c>
      <c r="C38" s="10"/>
      <c r="D38" s="9"/>
      <c r="E38" s="3">
        <f t="shared" si="11"/>
        <v>0</v>
      </c>
      <c r="F38" s="9"/>
      <c r="G38" s="9"/>
      <c r="H38" s="3">
        <f t="shared" si="12"/>
        <v>0</v>
      </c>
      <c r="I38" s="9"/>
      <c r="J38" s="9"/>
      <c r="K38" s="3">
        <f t="shared" si="13"/>
        <v>0</v>
      </c>
      <c r="L38" s="10"/>
      <c r="M38" s="9"/>
      <c r="N38" s="11">
        <f t="shared" si="14"/>
        <v>0</v>
      </c>
      <c r="O38" s="10"/>
      <c r="P38" s="9"/>
      <c r="Q38" s="3">
        <f t="shared" si="15"/>
        <v>0</v>
      </c>
      <c r="R38" s="10"/>
      <c r="S38" s="9"/>
      <c r="T38" s="3">
        <f t="shared" si="17"/>
        <v>0</v>
      </c>
      <c r="U38" s="10">
        <f t="shared" si="16"/>
        <v>0</v>
      </c>
      <c r="V38" s="74">
        <f t="shared" si="16"/>
        <v>0</v>
      </c>
      <c r="W38" s="78"/>
      <c r="X38" s="271"/>
      <c r="Y38" s="30"/>
      <c r="Z38" s="30"/>
    </row>
    <row r="39" spans="1:44" ht="27.75" customHeight="1" x14ac:dyDescent="0.2">
      <c r="A39" s="254"/>
      <c r="B39" s="34" t="s">
        <v>16</v>
      </c>
      <c r="C39" s="10">
        <v>4426.7434999999996</v>
      </c>
      <c r="D39" s="9">
        <v>25.2</v>
      </c>
      <c r="E39" s="3">
        <f t="shared" si="11"/>
        <v>4451.9434999999994</v>
      </c>
      <c r="F39" s="9">
        <v>4338.2085999999999</v>
      </c>
      <c r="G39" s="9">
        <v>113.7</v>
      </c>
      <c r="H39" s="3">
        <f t="shared" si="12"/>
        <v>4451.9085999999998</v>
      </c>
      <c r="I39" s="9">
        <v>5022.8167999999996</v>
      </c>
      <c r="J39" s="9">
        <v>134.4</v>
      </c>
      <c r="K39" s="3">
        <f t="shared" si="13"/>
        <v>5157.2167999999992</v>
      </c>
      <c r="L39" s="10">
        <v>5363.4495999999999</v>
      </c>
      <c r="M39" s="9"/>
      <c r="N39" s="11">
        <f t="shared" si="14"/>
        <v>5363.4495999999999</v>
      </c>
      <c r="O39" s="10">
        <v>5599.4413999999997</v>
      </c>
      <c r="P39" s="9"/>
      <c r="Q39" s="3">
        <f t="shared" si="15"/>
        <v>5599.4413999999997</v>
      </c>
      <c r="R39" s="10">
        <v>5834.6179000000002</v>
      </c>
      <c r="S39" s="9"/>
      <c r="T39" s="3">
        <f t="shared" si="17"/>
        <v>5834.6179000000002</v>
      </c>
      <c r="U39" s="10">
        <f t="shared" si="16"/>
        <v>273.3</v>
      </c>
      <c r="V39" s="74">
        <f>SUM(E39,H39,K39,N39,Q39,T39)</f>
        <v>30858.577799999999</v>
      </c>
      <c r="W39" s="78"/>
      <c r="X39" s="271"/>
      <c r="Y39" s="30"/>
      <c r="Z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</row>
    <row r="40" spans="1:44" x14ac:dyDescent="0.2">
      <c r="A40" s="254"/>
      <c r="B40" s="34" t="s">
        <v>17</v>
      </c>
      <c r="C40" s="10">
        <v>35</v>
      </c>
      <c r="D40" s="9">
        <v>0</v>
      </c>
      <c r="E40" s="3">
        <f t="shared" si="11"/>
        <v>35</v>
      </c>
      <c r="F40" s="10">
        <v>35</v>
      </c>
      <c r="G40" s="9">
        <v>0</v>
      </c>
      <c r="H40" s="3">
        <f t="shared" si="12"/>
        <v>35</v>
      </c>
      <c r="I40" s="10">
        <v>35</v>
      </c>
      <c r="J40" s="9">
        <v>0</v>
      </c>
      <c r="K40" s="3">
        <f t="shared" si="13"/>
        <v>35</v>
      </c>
      <c r="L40" s="10">
        <v>72.825100000000006</v>
      </c>
      <c r="M40" s="9"/>
      <c r="N40" s="11">
        <f t="shared" si="14"/>
        <v>72.825100000000006</v>
      </c>
      <c r="O40" s="10">
        <v>76.029399999999995</v>
      </c>
      <c r="P40" s="9"/>
      <c r="Q40" s="3">
        <f t="shared" si="15"/>
        <v>76.029399999999995</v>
      </c>
      <c r="R40" s="10">
        <v>79.222700000000003</v>
      </c>
      <c r="S40" s="9"/>
      <c r="T40" s="3">
        <f t="shared" si="17"/>
        <v>79.222700000000003</v>
      </c>
      <c r="U40" s="10">
        <f t="shared" si="16"/>
        <v>0</v>
      </c>
      <c r="V40" s="74">
        <f t="shared" si="16"/>
        <v>333.07720000000006</v>
      </c>
      <c r="W40" s="77"/>
      <c r="X40" s="19"/>
      <c r="Y40" s="30"/>
      <c r="Z40" s="30"/>
    </row>
    <row r="41" spans="1:44" ht="25.5" x14ac:dyDescent="0.2">
      <c r="A41" s="254">
        <v>7</v>
      </c>
      <c r="B41" s="75" t="s">
        <v>18</v>
      </c>
      <c r="C41" s="2">
        <f>C43</f>
        <v>14725</v>
      </c>
      <c r="D41" s="1">
        <f t="shared" ref="D41:J41" si="18">D43</f>
        <v>0</v>
      </c>
      <c r="E41" s="3">
        <f t="shared" si="11"/>
        <v>14725</v>
      </c>
      <c r="F41" s="1">
        <f t="shared" si="18"/>
        <v>14896</v>
      </c>
      <c r="G41" s="1">
        <f t="shared" si="18"/>
        <v>304</v>
      </c>
      <c r="H41" s="3">
        <f t="shared" si="12"/>
        <v>15200</v>
      </c>
      <c r="I41" s="1">
        <f t="shared" si="18"/>
        <v>24777.453300000001</v>
      </c>
      <c r="J41" s="1">
        <f t="shared" si="18"/>
        <v>492.6404999999977</v>
      </c>
      <c r="K41" s="3">
        <f t="shared" si="13"/>
        <v>25270.093799999999</v>
      </c>
      <c r="L41" s="2">
        <f t="shared" ref="L41:M41" si="19">L43</f>
        <v>31616.7968</v>
      </c>
      <c r="M41" s="1">
        <f t="shared" si="19"/>
        <v>0</v>
      </c>
      <c r="N41" s="3">
        <f t="shared" si="14"/>
        <v>31616.7968</v>
      </c>
      <c r="O41" s="2">
        <f t="shared" ref="O41:P41" si="20">O43</f>
        <v>36049.9948</v>
      </c>
      <c r="P41" s="1">
        <f t="shared" si="20"/>
        <v>0</v>
      </c>
      <c r="Q41" s="3">
        <f t="shared" si="15"/>
        <v>36049.9948</v>
      </c>
      <c r="R41" s="2">
        <f t="shared" ref="R41:S41" si="21">R43</f>
        <v>37564.094499999999</v>
      </c>
      <c r="S41" s="1">
        <f t="shared" si="21"/>
        <v>0</v>
      </c>
      <c r="T41" s="3">
        <f t="shared" si="17"/>
        <v>37564.094499999999</v>
      </c>
      <c r="U41" s="10">
        <f t="shared" si="16"/>
        <v>796.6404999999977</v>
      </c>
      <c r="V41" s="74">
        <f>SUM(E41,H41,K41,N41,Q41,T41)</f>
        <v>160425.97990000001</v>
      </c>
      <c r="W41" s="76"/>
      <c r="X41" s="253">
        <f>U41+W41</f>
        <v>796.6404999999977</v>
      </c>
      <c r="Y41" s="30"/>
      <c r="Z41" s="30"/>
    </row>
    <row r="42" spans="1:44" x14ac:dyDescent="0.2">
      <c r="A42" s="254"/>
      <c r="B42" s="33" t="s">
        <v>2</v>
      </c>
      <c r="C42" s="10"/>
      <c r="D42" s="9"/>
      <c r="E42" s="3">
        <f t="shared" si="11"/>
        <v>0</v>
      </c>
      <c r="F42" s="9"/>
      <c r="G42" s="9"/>
      <c r="H42" s="3">
        <f t="shared" si="12"/>
        <v>0</v>
      </c>
      <c r="I42" s="9"/>
      <c r="J42" s="9"/>
      <c r="K42" s="3">
        <f t="shared" si="13"/>
        <v>0</v>
      </c>
      <c r="L42" s="10"/>
      <c r="M42" s="9"/>
      <c r="N42" s="11">
        <f t="shared" si="14"/>
        <v>0</v>
      </c>
      <c r="O42" s="10"/>
      <c r="P42" s="9"/>
      <c r="Q42" s="3">
        <f t="shared" si="15"/>
        <v>0</v>
      </c>
      <c r="R42" s="10"/>
      <c r="S42" s="9"/>
      <c r="T42" s="3">
        <f t="shared" si="17"/>
        <v>0</v>
      </c>
      <c r="U42" s="10">
        <f t="shared" si="16"/>
        <v>0</v>
      </c>
      <c r="V42" s="74">
        <f t="shared" si="16"/>
        <v>0</v>
      </c>
      <c r="W42" s="77"/>
      <c r="X42" s="253"/>
      <c r="Y42" s="30"/>
      <c r="Z42" s="30"/>
    </row>
    <row r="43" spans="1:44" ht="26.25" thickBot="1" x14ac:dyDescent="0.25">
      <c r="A43" s="277"/>
      <c r="B43" s="179" t="s">
        <v>19</v>
      </c>
      <c r="C43" s="60">
        <v>14725</v>
      </c>
      <c r="D43" s="58"/>
      <c r="E43" s="117">
        <f t="shared" si="11"/>
        <v>14725</v>
      </c>
      <c r="F43" s="58">
        <v>14896</v>
      </c>
      <c r="G43" s="58">
        <f>15200-14896</f>
        <v>304</v>
      </c>
      <c r="H43" s="117">
        <f t="shared" si="12"/>
        <v>15200</v>
      </c>
      <c r="I43" s="58">
        <v>24777.453300000001</v>
      </c>
      <c r="J43" s="58">
        <f>25270.0938-24777.4533</f>
        <v>492.6404999999977</v>
      </c>
      <c r="K43" s="117">
        <f t="shared" si="13"/>
        <v>25270.093799999999</v>
      </c>
      <c r="L43" s="60">
        <v>31616.7968</v>
      </c>
      <c r="M43" s="58"/>
      <c r="N43" s="59">
        <f t="shared" si="14"/>
        <v>31616.7968</v>
      </c>
      <c r="O43" s="60">
        <v>36049.9948</v>
      </c>
      <c r="P43" s="58"/>
      <c r="Q43" s="117">
        <f t="shared" si="15"/>
        <v>36049.9948</v>
      </c>
      <c r="R43" s="60">
        <v>37564.094499999999</v>
      </c>
      <c r="S43" s="58"/>
      <c r="T43" s="117">
        <f t="shared" si="17"/>
        <v>37564.094499999999</v>
      </c>
      <c r="U43" s="60">
        <f t="shared" si="16"/>
        <v>796.6404999999977</v>
      </c>
      <c r="V43" s="118">
        <f>SUM(E43,H43,K43,N43,Q43,T43)</f>
        <v>160425.97990000001</v>
      </c>
      <c r="W43" s="180"/>
      <c r="X43" s="253"/>
      <c r="Y43" s="30">
        <f t="shared" ref="Y43:Z43" si="22">D30+D82+D107+D119+D137+D138+D144+D143+D153+D108</f>
        <v>22447.721000000001</v>
      </c>
      <c r="Z43" s="30">
        <f t="shared" si="22"/>
        <v>85476.281299999988</v>
      </c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</row>
    <row r="44" spans="1:44" ht="16.5" customHeight="1" thickBot="1" x14ac:dyDescent="0.25">
      <c r="A44" s="259" t="s">
        <v>164</v>
      </c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1"/>
      <c r="X44" s="181"/>
      <c r="Y44" s="181"/>
      <c r="Z44" s="181"/>
      <c r="AA44" s="181"/>
      <c r="AB44" s="181"/>
      <c r="AC44" s="181"/>
    </row>
    <row r="45" spans="1:44" ht="13.5" thickBot="1" x14ac:dyDescent="0.25">
      <c r="A45" s="156"/>
      <c r="B45" s="49" t="s">
        <v>89</v>
      </c>
      <c r="C45" s="182">
        <f>C46+C50+C54</f>
        <v>1000</v>
      </c>
      <c r="D45" s="182">
        <f>D46+D50+D54</f>
        <v>6000</v>
      </c>
      <c r="E45" s="183">
        <f>C45+D45</f>
        <v>7000</v>
      </c>
      <c r="F45" s="182">
        <f t="shared" ref="F45:G45" si="23">F46+F50+F54</f>
        <v>1000</v>
      </c>
      <c r="G45" s="182">
        <f t="shared" si="23"/>
        <v>6041</v>
      </c>
      <c r="H45" s="183">
        <f t="shared" ref="H45:H54" si="24">F45+G45</f>
        <v>7041</v>
      </c>
      <c r="I45" s="182">
        <f>I46+I50+I54</f>
        <v>1628.8000000000002</v>
      </c>
      <c r="J45" s="182">
        <f t="shared" ref="J45" si="25">J46+J50+J54</f>
        <v>6086.2999999999993</v>
      </c>
      <c r="K45" s="183">
        <f>K46+K50+K54</f>
        <v>7715.0999999999995</v>
      </c>
      <c r="L45" s="182">
        <v>123.3</v>
      </c>
      <c r="M45" s="182">
        <f t="shared" ref="M45" si="26">M46+M50+M54</f>
        <v>7656.5</v>
      </c>
      <c r="N45" s="183">
        <f>M45+L45</f>
        <v>7779.8</v>
      </c>
      <c r="O45" s="182">
        <f t="shared" ref="O45" si="27">O46+O50+O54</f>
        <v>0</v>
      </c>
      <c r="P45" s="182">
        <f t="shared" ref="P45" si="28">P46+P50+P54</f>
        <v>7718.9</v>
      </c>
      <c r="Q45" s="183">
        <f>Q46+Q50+Q54</f>
        <v>7718.9</v>
      </c>
      <c r="R45" s="182">
        <f t="shared" ref="R45" si="29">R46+R50+R54</f>
        <v>0</v>
      </c>
      <c r="S45" s="182">
        <f t="shared" ref="S45" si="30">S46+S50+S54</f>
        <v>7784.8</v>
      </c>
      <c r="T45" s="183">
        <f>T46+T50+T54</f>
        <v>7784.8</v>
      </c>
      <c r="U45" s="184">
        <f>D45+G45+J45+M45+P45+S45</f>
        <v>41287.5</v>
      </c>
      <c r="V45" s="185">
        <f>E45+H45+K45+N45+Q45+T45</f>
        <v>45039.6</v>
      </c>
      <c r="W45" s="153"/>
      <c r="X45" s="119"/>
      <c r="Y45" s="119"/>
      <c r="Z45" s="119"/>
    </row>
    <row r="46" spans="1:44" ht="12" customHeight="1" x14ac:dyDescent="0.2">
      <c r="A46" s="254">
        <v>8</v>
      </c>
      <c r="B46" s="159" t="s">
        <v>145</v>
      </c>
      <c r="C46" s="186">
        <f>C48+C49</f>
        <v>0</v>
      </c>
      <c r="D46" s="186">
        <f t="shared" ref="D46:J46" si="31">D48+D49</f>
        <v>4000</v>
      </c>
      <c r="E46" s="187">
        <f t="shared" ref="E46:E54" si="32">C46+D46</f>
        <v>4000</v>
      </c>
      <c r="F46" s="186">
        <f>F48+F49</f>
        <v>0</v>
      </c>
      <c r="G46" s="186">
        <f t="shared" ref="G46" si="33">G48+G49</f>
        <v>4000</v>
      </c>
      <c r="H46" s="187">
        <f t="shared" si="24"/>
        <v>4000</v>
      </c>
      <c r="I46" s="186">
        <f t="shared" si="31"/>
        <v>0</v>
      </c>
      <c r="J46" s="186">
        <f t="shared" si="31"/>
        <v>4500</v>
      </c>
      <c r="K46" s="187">
        <f t="shared" ref="K46:K52" si="34">I46+J46</f>
        <v>4500</v>
      </c>
      <c r="L46" s="188">
        <f t="shared" ref="L46:S46" si="35">L48+L49</f>
        <v>0</v>
      </c>
      <c r="M46" s="186">
        <f t="shared" si="35"/>
        <v>4500</v>
      </c>
      <c r="N46" s="187">
        <f>L46+M46</f>
        <v>4500</v>
      </c>
      <c r="O46" s="188">
        <f t="shared" si="35"/>
        <v>0</v>
      </c>
      <c r="P46" s="186">
        <f t="shared" si="35"/>
        <v>4500</v>
      </c>
      <c r="Q46" s="187">
        <f>O46+P46</f>
        <v>4500</v>
      </c>
      <c r="R46" s="188">
        <f t="shared" si="35"/>
        <v>0</v>
      </c>
      <c r="S46" s="186">
        <f t="shared" si="35"/>
        <v>4500</v>
      </c>
      <c r="T46" s="187">
        <f>R46+S46</f>
        <v>4500</v>
      </c>
      <c r="U46" s="189">
        <f t="shared" ref="U46:V54" si="36">D46+G46+J46+M46+P46+S46</f>
        <v>26000</v>
      </c>
      <c r="V46" s="190">
        <f t="shared" si="36"/>
        <v>26000</v>
      </c>
      <c r="W46" s="191"/>
    </row>
    <row r="47" spans="1:44" x14ac:dyDescent="0.2">
      <c r="A47" s="254"/>
      <c r="B47" s="33" t="s">
        <v>2</v>
      </c>
      <c r="C47" s="192"/>
      <c r="D47" s="192"/>
      <c r="E47" s="193">
        <f t="shared" si="32"/>
        <v>0</v>
      </c>
      <c r="F47" s="192"/>
      <c r="G47" s="192"/>
      <c r="H47" s="193">
        <f t="shared" si="24"/>
        <v>0</v>
      </c>
      <c r="I47" s="192"/>
      <c r="J47" s="192"/>
      <c r="K47" s="193">
        <f t="shared" si="34"/>
        <v>0</v>
      </c>
      <c r="L47" s="194"/>
      <c r="M47" s="192"/>
      <c r="N47" s="193">
        <f t="shared" ref="N47:N52" si="37">L47+M47</f>
        <v>0</v>
      </c>
      <c r="O47" s="194"/>
      <c r="P47" s="192"/>
      <c r="Q47" s="193">
        <f t="shared" ref="Q47:Q52" si="38">O47+P47</f>
        <v>0</v>
      </c>
      <c r="R47" s="194"/>
      <c r="S47" s="192"/>
      <c r="T47" s="193">
        <f t="shared" ref="T47:T52" si="39">R47+S47</f>
        <v>0</v>
      </c>
      <c r="U47" s="194">
        <f t="shared" si="36"/>
        <v>0</v>
      </c>
      <c r="V47" s="193">
        <f t="shared" si="36"/>
        <v>0</v>
      </c>
      <c r="W47" s="39"/>
    </row>
    <row r="48" spans="1:44" ht="45.75" customHeight="1" x14ac:dyDescent="0.2">
      <c r="A48" s="254"/>
      <c r="B48" s="34" t="s">
        <v>160</v>
      </c>
      <c r="C48" s="192"/>
      <c r="D48" s="192">
        <v>2000</v>
      </c>
      <c r="E48" s="193">
        <f t="shared" si="32"/>
        <v>2000</v>
      </c>
      <c r="F48" s="192"/>
      <c r="G48" s="192">
        <v>2000</v>
      </c>
      <c r="H48" s="193">
        <f t="shared" si="24"/>
        <v>2000</v>
      </c>
      <c r="I48" s="192"/>
      <c r="J48" s="192">
        <v>2000</v>
      </c>
      <c r="K48" s="193">
        <f t="shared" si="34"/>
        <v>2000</v>
      </c>
      <c r="L48" s="194"/>
      <c r="M48" s="192">
        <v>2000</v>
      </c>
      <c r="N48" s="193">
        <f t="shared" si="37"/>
        <v>2000</v>
      </c>
      <c r="O48" s="194"/>
      <c r="P48" s="192">
        <v>2000</v>
      </c>
      <c r="Q48" s="193">
        <f t="shared" si="38"/>
        <v>2000</v>
      </c>
      <c r="R48" s="194"/>
      <c r="S48" s="192">
        <v>2000</v>
      </c>
      <c r="T48" s="193">
        <f t="shared" si="39"/>
        <v>2000</v>
      </c>
      <c r="U48" s="194">
        <f t="shared" si="36"/>
        <v>12000</v>
      </c>
      <c r="V48" s="193">
        <f t="shared" si="36"/>
        <v>12000</v>
      </c>
      <c r="W48" s="39"/>
      <c r="X48" s="19" t="s">
        <v>158</v>
      </c>
    </row>
    <row r="49" spans="1:26" ht="25.5" x14ac:dyDescent="0.2">
      <c r="A49" s="254"/>
      <c r="B49" s="34" t="s">
        <v>137</v>
      </c>
      <c r="C49" s="192"/>
      <c r="D49" s="192">
        <f>1000+1000</f>
        <v>2000</v>
      </c>
      <c r="E49" s="193">
        <f t="shared" si="32"/>
        <v>2000</v>
      </c>
      <c r="F49" s="192"/>
      <c r="G49" s="192">
        <v>2000</v>
      </c>
      <c r="H49" s="193">
        <f t="shared" si="24"/>
        <v>2000</v>
      </c>
      <c r="I49" s="192"/>
      <c r="J49" s="192">
        <v>2500</v>
      </c>
      <c r="K49" s="193">
        <f t="shared" si="34"/>
        <v>2500</v>
      </c>
      <c r="L49" s="194"/>
      <c r="M49" s="192">
        <v>2500</v>
      </c>
      <c r="N49" s="193">
        <f t="shared" si="37"/>
        <v>2500</v>
      </c>
      <c r="O49" s="194"/>
      <c r="P49" s="192">
        <v>2500</v>
      </c>
      <c r="Q49" s="193">
        <f t="shared" si="38"/>
        <v>2500</v>
      </c>
      <c r="R49" s="194"/>
      <c r="S49" s="192">
        <v>2500</v>
      </c>
      <c r="T49" s="193">
        <f t="shared" si="39"/>
        <v>2500</v>
      </c>
      <c r="U49" s="194">
        <f t="shared" si="36"/>
        <v>14000</v>
      </c>
      <c r="V49" s="193">
        <f t="shared" si="36"/>
        <v>14000</v>
      </c>
      <c r="W49" s="39"/>
      <c r="X49" s="19" t="s">
        <v>159</v>
      </c>
    </row>
    <row r="50" spans="1:26" ht="14.25" customHeight="1" x14ac:dyDescent="0.2">
      <c r="A50" s="254">
        <v>9</v>
      </c>
      <c r="B50" s="75" t="s">
        <v>74</v>
      </c>
      <c r="C50" s="195">
        <f>C52+C53</f>
        <v>1000</v>
      </c>
      <c r="D50" s="195">
        <f>D52+D53</f>
        <v>2000</v>
      </c>
      <c r="E50" s="196">
        <f t="shared" si="32"/>
        <v>3000</v>
      </c>
      <c r="F50" s="195">
        <f>F52+F53</f>
        <v>1000</v>
      </c>
      <c r="G50" s="195">
        <f>G52+G53</f>
        <v>2041</v>
      </c>
      <c r="H50" s="196">
        <f t="shared" si="24"/>
        <v>3041</v>
      </c>
      <c r="I50" s="195">
        <f>I52+I53</f>
        <v>1510.9</v>
      </c>
      <c r="J50" s="195">
        <f>J52+J53</f>
        <v>1586.2999999999997</v>
      </c>
      <c r="K50" s="196">
        <f t="shared" si="34"/>
        <v>3097.2</v>
      </c>
      <c r="L50" s="197">
        <f>L52+L53</f>
        <v>0</v>
      </c>
      <c r="M50" s="195">
        <f>M52+M53</f>
        <v>3156.5</v>
      </c>
      <c r="N50" s="196">
        <f t="shared" si="37"/>
        <v>3156.5</v>
      </c>
      <c r="O50" s="197">
        <f>O52+O53</f>
        <v>0</v>
      </c>
      <c r="P50" s="195">
        <f>P52+P53</f>
        <v>3218.9</v>
      </c>
      <c r="Q50" s="196">
        <f t="shared" si="38"/>
        <v>3218.9</v>
      </c>
      <c r="R50" s="197">
        <f>R52+R53</f>
        <v>0</v>
      </c>
      <c r="S50" s="195">
        <f>S52+S53</f>
        <v>3284.8</v>
      </c>
      <c r="T50" s="196">
        <f t="shared" si="39"/>
        <v>3284.8</v>
      </c>
      <c r="U50" s="194">
        <f t="shared" si="36"/>
        <v>15287.5</v>
      </c>
      <c r="V50" s="193">
        <f t="shared" si="36"/>
        <v>18798.400000000001</v>
      </c>
      <c r="W50" s="39"/>
    </row>
    <row r="51" spans="1:26" x14ac:dyDescent="0.2">
      <c r="A51" s="254"/>
      <c r="B51" s="33" t="s">
        <v>2</v>
      </c>
      <c r="C51" s="192"/>
      <c r="D51" s="192"/>
      <c r="E51" s="193">
        <f t="shared" si="32"/>
        <v>0</v>
      </c>
      <c r="F51" s="192"/>
      <c r="G51" s="192"/>
      <c r="H51" s="193">
        <f t="shared" si="24"/>
        <v>0</v>
      </c>
      <c r="I51" s="192"/>
      <c r="J51" s="192"/>
      <c r="K51" s="193">
        <f t="shared" si="34"/>
        <v>0</v>
      </c>
      <c r="L51" s="194"/>
      <c r="M51" s="192"/>
      <c r="N51" s="193">
        <f t="shared" si="37"/>
        <v>0</v>
      </c>
      <c r="O51" s="194"/>
      <c r="P51" s="192"/>
      <c r="Q51" s="193">
        <f t="shared" si="38"/>
        <v>0</v>
      </c>
      <c r="R51" s="194"/>
      <c r="S51" s="192"/>
      <c r="T51" s="193">
        <f t="shared" si="39"/>
        <v>0</v>
      </c>
      <c r="U51" s="194">
        <f t="shared" si="36"/>
        <v>0</v>
      </c>
      <c r="V51" s="193">
        <f t="shared" si="36"/>
        <v>0</v>
      </c>
      <c r="W51" s="39"/>
    </row>
    <row r="52" spans="1:26" x14ac:dyDescent="0.2">
      <c r="A52" s="254"/>
      <c r="B52" s="34" t="s">
        <v>138</v>
      </c>
      <c r="C52" s="192">
        <v>1000</v>
      </c>
      <c r="D52" s="192">
        <f>2000</f>
        <v>2000</v>
      </c>
      <c r="E52" s="193">
        <f t="shared" si="32"/>
        <v>3000</v>
      </c>
      <c r="F52" s="192">
        <v>1000</v>
      </c>
      <c r="G52" s="192">
        <f>2000+1000+(1000/100*4.1)-1000</f>
        <v>2041</v>
      </c>
      <c r="H52" s="193">
        <f t="shared" si="24"/>
        <v>3041</v>
      </c>
      <c r="I52" s="192">
        <v>1510.9</v>
      </c>
      <c r="J52" s="192">
        <f>3097.2-1510.9</f>
        <v>1586.2999999999997</v>
      </c>
      <c r="K52" s="193">
        <f t="shared" si="34"/>
        <v>3097.2</v>
      </c>
      <c r="L52" s="194"/>
      <c r="M52" s="192">
        <v>3156.5</v>
      </c>
      <c r="N52" s="193">
        <f t="shared" si="37"/>
        <v>3156.5</v>
      </c>
      <c r="O52" s="194"/>
      <c r="P52" s="192">
        <v>3218.9</v>
      </c>
      <c r="Q52" s="193">
        <f t="shared" si="38"/>
        <v>3218.9</v>
      </c>
      <c r="R52" s="194"/>
      <c r="S52" s="192">
        <v>3284.8</v>
      </c>
      <c r="T52" s="193">
        <f t="shared" si="39"/>
        <v>3284.8</v>
      </c>
      <c r="U52" s="194">
        <f t="shared" si="36"/>
        <v>15287.5</v>
      </c>
      <c r="V52" s="193">
        <f t="shared" si="36"/>
        <v>18798.400000000001</v>
      </c>
      <c r="W52" s="39"/>
      <c r="X52" s="19"/>
    </row>
    <row r="53" spans="1:26" ht="13.5" customHeight="1" x14ac:dyDescent="0.2">
      <c r="A53" s="254"/>
      <c r="B53" s="34"/>
      <c r="C53" s="192"/>
      <c r="D53" s="192"/>
      <c r="E53" s="193"/>
      <c r="F53" s="192"/>
      <c r="G53" s="192"/>
      <c r="H53" s="193"/>
      <c r="I53" s="192"/>
      <c r="J53" s="192"/>
      <c r="K53" s="193"/>
      <c r="L53" s="194"/>
      <c r="M53" s="192"/>
      <c r="N53" s="193"/>
      <c r="O53" s="194"/>
      <c r="P53" s="192"/>
      <c r="Q53" s="193"/>
      <c r="R53" s="194"/>
      <c r="S53" s="192"/>
      <c r="T53" s="193"/>
      <c r="U53" s="194"/>
      <c r="V53" s="193"/>
      <c r="W53" s="39"/>
      <c r="X53" s="20"/>
    </row>
    <row r="54" spans="1:26" ht="26.25" thickBot="1" x14ac:dyDescent="0.25">
      <c r="A54" s="277"/>
      <c r="B54" s="179" t="s">
        <v>20</v>
      </c>
      <c r="C54" s="198"/>
      <c r="D54" s="198"/>
      <c r="E54" s="199">
        <f t="shared" si="32"/>
        <v>0</v>
      </c>
      <c r="F54" s="198"/>
      <c r="G54" s="198"/>
      <c r="H54" s="199">
        <f t="shared" si="24"/>
        <v>0</v>
      </c>
      <c r="I54" s="198">
        <v>117.9</v>
      </c>
      <c r="J54" s="198"/>
      <c r="K54" s="199">
        <f>I54+J54</f>
        <v>117.9</v>
      </c>
      <c r="L54" s="200" t="s">
        <v>167</v>
      </c>
      <c r="M54" s="198">
        <v>0</v>
      </c>
      <c r="N54" s="199" t="s">
        <v>167</v>
      </c>
      <c r="O54" s="200"/>
      <c r="P54" s="198"/>
      <c r="Q54" s="199">
        <f>O54+P54</f>
        <v>0</v>
      </c>
      <c r="R54" s="200"/>
      <c r="S54" s="198"/>
      <c r="T54" s="199">
        <f>R54+S54</f>
        <v>0</v>
      </c>
      <c r="U54" s="200">
        <f t="shared" si="36"/>
        <v>0</v>
      </c>
      <c r="V54" s="201">
        <v>241.2</v>
      </c>
      <c r="W54" s="202" t="s">
        <v>123</v>
      </c>
    </row>
    <row r="55" spans="1:26" ht="18" customHeight="1" thickBot="1" x14ac:dyDescent="0.25">
      <c r="A55" s="259" t="s">
        <v>169</v>
      </c>
      <c r="B55" s="260"/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1"/>
      <c r="X55" s="16">
        <f>X57+X90</f>
        <v>230887.1629</v>
      </c>
      <c r="Y55" s="119"/>
      <c r="Z55" s="119"/>
    </row>
    <row r="56" spans="1:26" x14ac:dyDescent="0.2">
      <c r="A56" s="278"/>
      <c r="B56" s="121" t="s">
        <v>88</v>
      </c>
      <c r="C56" s="4">
        <f>SUM(C57:C58)</f>
        <v>29651.135499999997</v>
      </c>
      <c r="D56" s="5">
        <f>SUM(D57:D58)</f>
        <v>10193.592000000001</v>
      </c>
      <c r="E56" s="6">
        <f>SUM(C56:D56)</f>
        <v>39844.727499999994</v>
      </c>
      <c r="F56" s="7">
        <f>SUM(F57:F58)</f>
        <v>27804.932800000002</v>
      </c>
      <c r="G56" s="5">
        <f>SUM(G57:G58)</f>
        <v>12228.9701</v>
      </c>
      <c r="H56" s="8">
        <f>SUM(F56:G56)</f>
        <v>40033.902900000001</v>
      </c>
      <c r="I56" s="4">
        <f t="shared" ref="I56:L56" si="40">SUM(I57:I58)</f>
        <v>26032.5533</v>
      </c>
      <c r="J56" s="5">
        <f t="shared" si="40"/>
        <v>13752.528899999999</v>
      </c>
      <c r="K56" s="6">
        <f>SUM(I56:J56)</f>
        <v>39785.082199999997</v>
      </c>
      <c r="L56" s="7">
        <f t="shared" si="40"/>
        <v>22895.857800000002</v>
      </c>
      <c r="M56" s="5">
        <f>SUM(M57:M58)</f>
        <v>15036.016500000002</v>
      </c>
      <c r="N56" s="8">
        <f>L56+M56</f>
        <v>37931.874300000003</v>
      </c>
      <c r="O56" s="4">
        <f>SUM(O57:O58)</f>
        <v>18958.017600000003</v>
      </c>
      <c r="P56" s="5">
        <f>SUM(P57:P58)</f>
        <v>16199.5214</v>
      </c>
      <c r="Q56" s="6">
        <f>O56+P56</f>
        <v>35157.539000000004</v>
      </c>
      <c r="R56" s="7">
        <f>SUM(R57:R58)</f>
        <v>16042.141000000001</v>
      </c>
      <c r="S56" s="5">
        <f>SUM(S57:S58)</f>
        <v>17024.658100000001</v>
      </c>
      <c r="T56" s="8">
        <f>R56+S56</f>
        <v>33066.799100000004</v>
      </c>
      <c r="U56" s="40">
        <f t="shared" ref="U56:V65" si="41">D56+G56+J56+M56+P56+S56</f>
        <v>84435.286999999997</v>
      </c>
      <c r="V56" s="41">
        <f t="shared" si="41"/>
        <v>225819.92499999999</v>
      </c>
      <c r="W56" s="122"/>
      <c r="X56" s="114">
        <f>W57+V57</f>
        <v>217052.51510000002</v>
      </c>
      <c r="Y56" s="16"/>
      <c r="Z56" s="16"/>
    </row>
    <row r="57" spans="1:26" x14ac:dyDescent="0.2">
      <c r="A57" s="279"/>
      <c r="B57" s="123" t="s">
        <v>91</v>
      </c>
      <c r="C57" s="10">
        <f>C59+C60+C63+C66+C73+C78+C82+C86</f>
        <v>28279.401599999997</v>
      </c>
      <c r="D57" s="9">
        <f>D59+D60+D63+D66+D73+D78+D82+D86</f>
        <v>10193.592000000001</v>
      </c>
      <c r="E57" s="11">
        <f>E59+E60+E63+E66+E73+E78+E82+E86</f>
        <v>38472.993600000002</v>
      </c>
      <c r="F57" s="92">
        <f t="shared" ref="F57:T57" si="42">F59+F60+F63+F66+F73+F78+F82+F86</f>
        <v>26731.848900000001</v>
      </c>
      <c r="G57" s="9">
        <f t="shared" si="42"/>
        <v>11850.654</v>
      </c>
      <c r="H57" s="74">
        <f t="shared" si="42"/>
        <v>38582.502899999999</v>
      </c>
      <c r="I57" s="10">
        <f t="shared" si="42"/>
        <v>24664.2415</v>
      </c>
      <c r="J57" s="9">
        <f t="shared" si="42"/>
        <v>13752.528899999999</v>
      </c>
      <c r="K57" s="11">
        <f t="shared" si="42"/>
        <v>38416.770399999994</v>
      </c>
      <c r="L57" s="92">
        <f t="shared" si="42"/>
        <v>21434.751100000001</v>
      </c>
      <c r="M57" s="9">
        <f t="shared" si="42"/>
        <v>15036.016500000002</v>
      </c>
      <c r="N57" s="74">
        <f t="shared" si="42"/>
        <v>36470.767599999999</v>
      </c>
      <c r="O57" s="10">
        <f t="shared" si="42"/>
        <v>17432.622200000002</v>
      </c>
      <c r="P57" s="9">
        <f t="shared" si="42"/>
        <v>16199.5214</v>
      </c>
      <c r="Q57" s="11">
        <f t="shared" si="42"/>
        <v>33632.143600000003</v>
      </c>
      <c r="R57" s="92">
        <f t="shared" si="42"/>
        <v>14452.678900000001</v>
      </c>
      <c r="S57" s="9">
        <f t="shared" si="42"/>
        <v>17024.658100000001</v>
      </c>
      <c r="T57" s="74">
        <f t="shared" si="42"/>
        <v>31477.337</v>
      </c>
      <c r="U57" s="10">
        <f t="shared" si="41"/>
        <v>84056.9709</v>
      </c>
      <c r="V57" s="11">
        <f t="shared" si="41"/>
        <v>217052.51510000002</v>
      </c>
      <c r="W57" s="124"/>
      <c r="X57" s="16">
        <f>C57+F57+I57+L57+O57+R57</f>
        <v>132995.5442</v>
      </c>
      <c r="Y57" s="16"/>
      <c r="Z57" s="16"/>
    </row>
    <row r="58" spans="1:26" ht="13.5" thickBot="1" x14ac:dyDescent="0.25">
      <c r="A58" s="279"/>
      <c r="B58" s="125" t="s">
        <v>92</v>
      </c>
      <c r="C58" s="60">
        <f>C69</f>
        <v>1371.7338999999999</v>
      </c>
      <c r="D58" s="58">
        <f>D69</f>
        <v>0</v>
      </c>
      <c r="E58" s="59">
        <f t="shared" ref="E58:E66" si="43">C58+D58</f>
        <v>1371.7338999999999</v>
      </c>
      <c r="F58" s="104">
        <f>F69</f>
        <v>1073.0838999999999</v>
      </c>
      <c r="G58" s="58">
        <f>G69</f>
        <v>378.31610000000001</v>
      </c>
      <c r="H58" s="118">
        <f t="shared" ref="H58:H65" si="44">F58+G58</f>
        <v>1451.3999999999999</v>
      </c>
      <c r="I58" s="60">
        <f>I69</f>
        <v>1368.3117999999999</v>
      </c>
      <c r="J58" s="58">
        <f>J69</f>
        <v>0</v>
      </c>
      <c r="K58" s="59">
        <f t="shared" ref="K58:K65" si="45">I58+J58</f>
        <v>1368.3117999999999</v>
      </c>
      <c r="L58" s="104">
        <f t="shared" ref="L58:S58" si="46">L69</f>
        <v>1461.1067</v>
      </c>
      <c r="M58" s="58">
        <f t="shared" si="46"/>
        <v>0</v>
      </c>
      <c r="N58" s="118">
        <f>L58+M58</f>
        <v>1461.1067</v>
      </c>
      <c r="O58" s="60">
        <f t="shared" si="46"/>
        <v>1525.3954000000001</v>
      </c>
      <c r="P58" s="58">
        <f t="shared" si="46"/>
        <v>0</v>
      </c>
      <c r="Q58" s="59">
        <f t="shared" si="46"/>
        <v>1525.3954000000001</v>
      </c>
      <c r="R58" s="104">
        <f t="shared" si="46"/>
        <v>1589.4621</v>
      </c>
      <c r="S58" s="58">
        <f t="shared" si="46"/>
        <v>0</v>
      </c>
      <c r="T58" s="118">
        <f t="shared" ref="T58:T88" si="47">R58+S58</f>
        <v>1589.4621</v>
      </c>
      <c r="U58" s="60">
        <f t="shared" si="41"/>
        <v>378.31610000000001</v>
      </c>
      <c r="V58" s="59">
        <f t="shared" si="41"/>
        <v>8767.4099000000006</v>
      </c>
      <c r="W58" s="126"/>
      <c r="X58" s="19"/>
      <c r="Y58" s="16"/>
      <c r="Z58" s="16"/>
    </row>
    <row r="59" spans="1:26" hidden="1" x14ac:dyDescent="0.2">
      <c r="A59" s="84"/>
      <c r="B59" s="62"/>
      <c r="C59" s="63"/>
      <c r="D59" s="70"/>
      <c r="E59" s="71"/>
      <c r="F59" s="70"/>
      <c r="G59" s="70"/>
      <c r="H59" s="71"/>
      <c r="I59" s="69"/>
      <c r="J59" s="70"/>
      <c r="K59" s="71"/>
      <c r="L59" s="69"/>
      <c r="M59" s="70"/>
      <c r="N59" s="71"/>
      <c r="O59" s="69"/>
      <c r="P59" s="70"/>
      <c r="Q59" s="71"/>
      <c r="R59" s="69"/>
      <c r="S59" s="70"/>
      <c r="T59" s="71"/>
      <c r="U59" s="42"/>
      <c r="V59" s="43"/>
      <c r="W59" s="65"/>
      <c r="X59" s="119"/>
      <c r="Y59" s="119"/>
      <c r="Z59" s="119"/>
    </row>
    <row r="60" spans="1:26" x14ac:dyDescent="0.2">
      <c r="A60" s="254">
        <v>10</v>
      </c>
      <c r="B60" s="127" t="s">
        <v>22</v>
      </c>
      <c r="C60" s="45">
        <f>C62</f>
        <v>738.93359999999996</v>
      </c>
      <c r="D60" s="1">
        <f>D62</f>
        <v>487</v>
      </c>
      <c r="E60" s="3">
        <f t="shared" si="43"/>
        <v>1225.9335999999998</v>
      </c>
      <c r="F60" s="1">
        <f t="shared" ref="F60:I60" si="48">F62</f>
        <v>724.1549</v>
      </c>
      <c r="G60" s="1">
        <f>G62</f>
        <v>753.71230000000003</v>
      </c>
      <c r="H60" s="3">
        <f t="shared" si="44"/>
        <v>1477.8672000000001</v>
      </c>
      <c r="I60" s="2">
        <f t="shared" si="48"/>
        <v>838.43299999999999</v>
      </c>
      <c r="J60" s="1">
        <f>J62</f>
        <v>604.97019999999998</v>
      </c>
      <c r="K60" s="3">
        <f t="shared" si="45"/>
        <v>1443.4032</v>
      </c>
      <c r="L60" s="2">
        <f t="shared" ref="L60" si="49">L62</f>
        <v>895.29309999999998</v>
      </c>
      <c r="M60" s="1">
        <f>M62</f>
        <v>681.8</v>
      </c>
      <c r="N60" s="3">
        <f t="shared" ref="N60:N88" si="50">L60+M60</f>
        <v>1577.0931</v>
      </c>
      <c r="O60" s="2">
        <f t="shared" ref="O60" si="51">O62</f>
        <v>934.68600000000004</v>
      </c>
      <c r="P60" s="1">
        <f>P62</f>
        <v>757.4</v>
      </c>
      <c r="Q60" s="3">
        <f t="shared" ref="Q60:Q88" si="52">O60+P60</f>
        <v>1692.086</v>
      </c>
      <c r="R60" s="2">
        <f t="shared" ref="R60" si="53">R62</f>
        <v>973.94280000000003</v>
      </c>
      <c r="S60" s="1">
        <f>S62</f>
        <v>838.9</v>
      </c>
      <c r="T60" s="3">
        <f t="shared" si="47"/>
        <v>1812.8427999999999</v>
      </c>
      <c r="U60" s="10">
        <f t="shared" si="41"/>
        <v>4123.7825000000003</v>
      </c>
      <c r="V60" s="11">
        <f t="shared" si="41"/>
        <v>9229.2258999999995</v>
      </c>
      <c r="W60" s="128"/>
      <c r="Y60" s="30"/>
      <c r="Z60" s="30"/>
    </row>
    <row r="61" spans="1:26" x14ac:dyDescent="0.2">
      <c r="A61" s="254"/>
      <c r="B61" s="129" t="s">
        <v>2</v>
      </c>
      <c r="C61" s="92"/>
      <c r="D61" s="9"/>
      <c r="E61" s="11">
        <f t="shared" si="43"/>
        <v>0</v>
      </c>
      <c r="F61" s="9"/>
      <c r="G61" s="9"/>
      <c r="H61" s="11">
        <f t="shared" si="44"/>
        <v>0</v>
      </c>
      <c r="I61" s="10"/>
      <c r="J61" s="9"/>
      <c r="K61" s="11">
        <f t="shared" si="45"/>
        <v>0</v>
      </c>
      <c r="L61" s="10"/>
      <c r="M61" s="9"/>
      <c r="N61" s="11">
        <f t="shared" si="50"/>
        <v>0</v>
      </c>
      <c r="O61" s="10"/>
      <c r="P61" s="9"/>
      <c r="Q61" s="11">
        <f t="shared" si="52"/>
        <v>0</v>
      </c>
      <c r="R61" s="10"/>
      <c r="S61" s="9"/>
      <c r="T61" s="11">
        <f t="shared" si="47"/>
        <v>0</v>
      </c>
      <c r="U61" s="10">
        <f t="shared" si="41"/>
        <v>0</v>
      </c>
      <c r="V61" s="11">
        <f t="shared" si="41"/>
        <v>0</v>
      </c>
      <c r="W61" s="128"/>
      <c r="X61" s="19"/>
      <c r="Y61" s="30"/>
      <c r="Z61" s="30"/>
    </row>
    <row r="62" spans="1:26" x14ac:dyDescent="0.2">
      <c r="A62" s="254"/>
      <c r="B62" s="130" t="s">
        <v>23</v>
      </c>
      <c r="C62" s="92">
        <v>738.93359999999996</v>
      </c>
      <c r="D62" s="9">
        <v>487</v>
      </c>
      <c r="E62" s="11">
        <f t="shared" si="43"/>
        <v>1225.9335999999998</v>
      </c>
      <c r="F62" s="9">
        <v>724.1549</v>
      </c>
      <c r="G62" s="9">
        <v>753.71230000000003</v>
      </c>
      <c r="H62" s="11">
        <f t="shared" si="44"/>
        <v>1477.8672000000001</v>
      </c>
      <c r="I62" s="10">
        <v>838.43299999999999</v>
      </c>
      <c r="J62" s="9">
        <f>588.3+16.6702</f>
        <v>604.97019999999998</v>
      </c>
      <c r="K62" s="11">
        <f t="shared" si="45"/>
        <v>1443.4032</v>
      </c>
      <c r="L62" s="10">
        <v>895.29309999999998</v>
      </c>
      <c r="M62" s="9">
        <v>681.8</v>
      </c>
      <c r="N62" s="11">
        <f t="shared" si="50"/>
        <v>1577.0931</v>
      </c>
      <c r="O62" s="10">
        <v>934.68600000000004</v>
      </c>
      <c r="P62" s="9">
        <v>757.4</v>
      </c>
      <c r="Q62" s="11">
        <f t="shared" si="52"/>
        <v>1692.086</v>
      </c>
      <c r="R62" s="10">
        <v>973.94280000000003</v>
      </c>
      <c r="S62" s="9">
        <v>838.9</v>
      </c>
      <c r="T62" s="11">
        <f t="shared" si="47"/>
        <v>1812.8427999999999</v>
      </c>
      <c r="U62" s="10">
        <f t="shared" si="41"/>
        <v>4123.7825000000003</v>
      </c>
      <c r="V62" s="11">
        <f t="shared" si="41"/>
        <v>9229.2258999999995</v>
      </c>
      <c r="W62" s="128"/>
      <c r="X62" s="19"/>
      <c r="Y62" s="30"/>
      <c r="Z62" s="30"/>
    </row>
    <row r="63" spans="1:26" x14ac:dyDescent="0.2">
      <c r="A63" s="254">
        <v>11</v>
      </c>
      <c r="B63" s="127" t="s">
        <v>24</v>
      </c>
      <c r="C63" s="45">
        <f>C65</f>
        <v>380.23869999999999</v>
      </c>
      <c r="D63" s="1">
        <f t="shared" ref="D63:J63" si="54">D65</f>
        <v>41.2</v>
      </c>
      <c r="E63" s="3">
        <f t="shared" si="43"/>
        <v>421.43869999999998</v>
      </c>
      <c r="F63" s="1">
        <f t="shared" si="54"/>
        <v>340.13659999999999</v>
      </c>
      <c r="G63" s="1">
        <f t="shared" si="54"/>
        <v>107.1416</v>
      </c>
      <c r="H63" s="3">
        <f t="shared" si="44"/>
        <v>447.27819999999997</v>
      </c>
      <c r="I63" s="2">
        <f t="shared" si="54"/>
        <v>375.41770000000002</v>
      </c>
      <c r="J63" s="1">
        <f t="shared" si="54"/>
        <v>114.96429999999998</v>
      </c>
      <c r="K63" s="3">
        <f t="shared" si="45"/>
        <v>490.38200000000001</v>
      </c>
      <c r="L63" s="2">
        <f t="shared" ref="L63:M63" si="55">L65</f>
        <v>400.8775</v>
      </c>
      <c r="M63" s="1">
        <f t="shared" si="55"/>
        <v>130.80000000000001</v>
      </c>
      <c r="N63" s="3">
        <f t="shared" si="50"/>
        <v>531.67750000000001</v>
      </c>
      <c r="O63" s="2">
        <f t="shared" ref="O63:P63" si="56">O65</f>
        <v>418.51609999999999</v>
      </c>
      <c r="P63" s="1">
        <f t="shared" si="56"/>
        <v>149.30000000000001</v>
      </c>
      <c r="Q63" s="3">
        <f t="shared" si="52"/>
        <v>567.81610000000001</v>
      </c>
      <c r="R63" s="2">
        <f t="shared" ref="R63:S63" si="57">R65</f>
        <v>436.09379999999999</v>
      </c>
      <c r="S63" s="1">
        <f t="shared" si="57"/>
        <v>169.2</v>
      </c>
      <c r="T63" s="3">
        <f t="shared" si="47"/>
        <v>605.29379999999992</v>
      </c>
      <c r="U63" s="10">
        <f t="shared" si="41"/>
        <v>712.60590000000002</v>
      </c>
      <c r="V63" s="11">
        <f t="shared" si="41"/>
        <v>3063.8862999999997</v>
      </c>
      <c r="W63" s="128"/>
      <c r="X63" s="19"/>
      <c r="Y63" s="30"/>
      <c r="Z63" s="30"/>
    </row>
    <row r="64" spans="1:26" x14ac:dyDescent="0.2">
      <c r="A64" s="254"/>
      <c r="B64" s="129" t="s">
        <v>2</v>
      </c>
      <c r="C64" s="92"/>
      <c r="D64" s="9"/>
      <c r="E64" s="11">
        <f t="shared" si="43"/>
        <v>0</v>
      </c>
      <c r="F64" s="9"/>
      <c r="G64" s="9"/>
      <c r="H64" s="11">
        <f t="shared" si="44"/>
        <v>0</v>
      </c>
      <c r="I64" s="10"/>
      <c r="J64" s="9"/>
      <c r="K64" s="11">
        <f t="shared" si="45"/>
        <v>0</v>
      </c>
      <c r="L64" s="10"/>
      <c r="M64" s="9"/>
      <c r="N64" s="11">
        <f t="shared" si="50"/>
        <v>0</v>
      </c>
      <c r="O64" s="10"/>
      <c r="P64" s="9"/>
      <c r="Q64" s="11">
        <f t="shared" si="52"/>
        <v>0</v>
      </c>
      <c r="R64" s="10"/>
      <c r="S64" s="9"/>
      <c r="T64" s="11">
        <f t="shared" si="47"/>
        <v>0</v>
      </c>
      <c r="U64" s="10">
        <f t="shared" si="41"/>
        <v>0</v>
      </c>
      <c r="V64" s="11">
        <f t="shared" si="41"/>
        <v>0</v>
      </c>
      <c r="W64" s="128"/>
      <c r="X64" s="19"/>
      <c r="Y64" s="30"/>
      <c r="Z64" s="30"/>
    </row>
    <row r="65" spans="1:26" ht="25.5" x14ac:dyDescent="0.2">
      <c r="A65" s="254"/>
      <c r="B65" s="130" t="s">
        <v>152</v>
      </c>
      <c r="C65" s="92">
        <v>380.23869999999999</v>
      </c>
      <c r="D65" s="9">
        <v>41.2</v>
      </c>
      <c r="E65" s="11">
        <f t="shared" si="43"/>
        <v>421.43869999999998</v>
      </c>
      <c r="F65" s="9">
        <v>340.13659999999999</v>
      </c>
      <c r="G65" s="9">
        <f>100.2+6.94159999999999</f>
        <v>107.1416</v>
      </c>
      <c r="H65" s="11">
        <f t="shared" si="44"/>
        <v>447.27819999999997</v>
      </c>
      <c r="I65" s="10">
        <v>375.41770000000002</v>
      </c>
      <c r="J65" s="9">
        <f>107.5+7.46429999999998</f>
        <v>114.96429999999998</v>
      </c>
      <c r="K65" s="11">
        <f t="shared" si="45"/>
        <v>490.38200000000001</v>
      </c>
      <c r="L65" s="10">
        <v>400.8775</v>
      </c>
      <c r="M65" s="9">
        <v>130.80000000000001</v>
      </c>
      <c r="N65" s="11">
        <f t="shared" si="50"/>
        <v>531.67750000000001</v>
      </c>
      <c r="O65" s="10">
        <v>418.51609999999999</v>
      </c>
      <c r="P65" s="9">
        <v>149.30000000000001</v>
      </c>
      <c r="Q65" s="11">
        <f t="shared" si="52"/>
        <v>567.81610000000001</v>
      </c>
      <c r="R65" s="10">
        <v>436.09379999999999</v>
      </c>
      <c r="S65" s="9">
        <v>169.2</v>
      </c>
      <c r="T65" s="11">
        <f t="shared" si="47"/>
        <v>605.29379999999992</v>
      </c>
      <c r="U65" s="10">
        <f t="shared" si="41"/>
        <v>712.60590000000002</v>
      </c>
      <c r="V65" s="11">
        <f t="shared" si="41"/>
        <v>3063.8862999999997</v>
      </c>
      <c r="W65" s="128"/>
      <c r="X65" s="19"/>
      <c r="Y65" s="30"/>
      <c r="Z65" s="30"/>
    </row>
    <row r="66" spans="1:26" x14ac:dyDescent="0.2">
      <c r="A66" s="254">
        <v>12</v>
      </c>
      <c r="B66" s="203" t="s">
        <v>108</v>
      </c>
      <c r="C66" s="45">
        <f>C68</f>
        <v>153.529</v>
      </c>
      <c r="D66" s="1">
        <f>D68</f>
        <v>129.971</v>
      </c>
      <c r="E66" s="3">
        <f t="shared" si="43"/>
        <v>283.5</v>
      </c>
      <c r="F66" s="1">
        <f>F68</f>
        <v>0</v>
      </c>
      <c r="G66" s="1">
        <f>G68</f>
        <v>313.5</v>
      </c>
      <c r="H66" s="3">
        <f>G66</f>
        <v>313.5</v>
      </c>
      <c r="I66" s="2">
        <f>I68</f>
        <v>0</v>
      </c>
      <c r="J66" s="1">
        <f>J68</f>
        <v>358.44</v>
      </c>
      <c r="K66" s="3">
        <f>J66</f>
        <v>358.44</v>
      </c>
      <c r="L66" s="2">
        <f>L68</f>
        <v>0</v>
      </c>
      <c r="M66" s="1">
        <f>M68</f>
        <v>406.26</v>
      </c>
      <c r="N66" s="3">
        <f>M66</f>
        <v>406.26</v>
      </c>
      <c r="O66" s="1">
        <f>O68</f>
        <v>0</v>
      </c>
      <c r="P66" s="1">
        <f>P68</f>
        <v>449.28</v>
      </c>
      <c r="Q66" s="3">
        <f>P66</f>
        <v>449.28</v>
      </c>
      <c r="R66" s="1">
        <f>R68</f>
        <v>0</v>
      </c>
      <c r="S66" s="1">
        <f>S68</f>
        <v>494.46</v>
      </c>
      <c r="T66" s="3">
        <f>S66</f>
        <v>494.46</v>
      </c>
      <c r="U66" s="2">
        <f>D66+G66+J66+M66+P66+S66</f>
        <v>2151.9110000000001</v>
      </c>
      <c r="V66" s="3">
        <f>E66+H66+K66+N66+Q66+T66</f>
        <v>2305.44</v>
      </c>
      <c r="W66" s="128"/>
      <c r="X66" s="19"/>
      <c r="Y66" s="30"/>
      <c r="Z66" s="30"/>
    </row>
    <row r="67" spans="1:26" x14ac:dyDescent="0.2">
      <c r="A67" s="254"/>
      <c r="B67" s="129" t="s">
        <v>2</v>
      </c>
      <c r="C67" s="45"/>
      <c r="D67" s="1"/>
      <c r="E67" s="3"/>
      <c r="F67" s="1"/>
      <c r="G67" s="1"/>
      <c r="H67" s="3"/>
      <c r="I67" s="2"/>
      <c r="J67" s="1"/>
      <c r="K67" s="3"/>
      <c r="L67" s="2"/>
      <c r="M67" s="1"/>
      <c r="N67" s="3"/>
      <c r="O67" s="2"/>
      <c r="P67" s="1"/>
      <c r="Q67" s="3"/>
      <c r="R67" s="2"/>
      <c r="S67" s="1"/>
      <c r="T67" s="3"/>
      <c r="U67" s="10"/>
      <c r="V67" s="11"/>
      <c r="W67" s="128"/>
      <c r="X67" s="19"/>
      <c r="Y67" s="30"/>
      <c r="Z67" s="30"/>
    </row>
    <row r="68" spans="1:26" x14ac:dyDescent="0.2">
      <c r="A68" s="254"/>
      <c r="B68" s="130" t="s">
        <v>154</v>
      </c>
      <c r="C68" s="92">
        <v>153.529</v>
      </c>
      <c r="D68" s="9">
        <v>129.971</v>
      </c>
      <c r="E68" s="11">
        <f>D68+C68</f>
        <v>283.5</v>
      </c>
      <c r="F68" s="1">
        <v>0</v>
      </c>
      <c r="G68" s="1">
        <v>313.5</v>
      </c>
      <c r="H68" s="3">
        <f>G68</f>
        <v>313.5</v>
      </c>
      <c r="I68" s="2">
        <v>0</v>
      </c>
      <c r="J68" s="1">
        <v>358.44</v>
      </c>
      <c r="K68" s="3">
        <f>J68</f>
        <v>358.44</v>
      </c>
      <c r="L68" s="2">
        <v>0</v>
      </c>
      <c r="M68" s="1">
        <v>406.26</v>
      </c>
      <c r="N68" s="3">
        <f>M68</f>
        <v>406.26</v>
      </c>
      <c r="O68" s="2">
        <v>0</v>
      </c>
      <c r="P68" s="1">
        <v>449.28</v>
      </c>
      <c r="Q68" s="3">
        <f>P68</f>
        <v>449.28</v>
      </c>
      <c r="R68" s="2">
        <v>0</v>
      </c>
      <c r="S68" s="1">
        <v>494.46</v>
      </c>
      <c r="T68" s="3">
        <f>S68</f>
        <v>494.46</v>
      </c>
      <c r="U68" s="10">
        <f t="shared" ref="U68:V72" si="58">D68+G68+J68+M68+P68+S68</f>
        <v>2151.9110000000001</v>
      </c>
      <c r="V68" s="11">
        <f t="shared" si="58"/>
        <v>2305.44</v>
      </c>
      <c r="W68" s="128"/>
      <c r="X68" s="19"/>
      <c r="Y68" s="30"/>
      <c r="Z68" s="30"/>
    </row>
    <row r="69" spans="1:26" ht="25.5" x14ac:dyDescent="0.2">
      <c r="A69" s="254">
        <v>13</v>
      </c>
      <c r="B69" s="127" t="s">
        <v>25</v>
      </c>
      <c r="C69" s="45">
        <f>C71+C72</f>
        <v>1371.7338999999999</v>
      </c>
      <c r="D69" s="1">
        <f t="shared" ref="D69:J69" si="59">D71+D72</f>
        <v>0</v>
      </c>
      <c r="E69" s="3">
        <f>C69+D69</f>
        <v>1371.7338999999999</v>
      </c>
      <c r="F69" s="1">
        <f t="shared" si="59"/>
        <v>1073.0838999999999</v>
      </c>
      <c r="G69" s="1">
        <f t="shared" si="59"/>
        <v>378.31610000000001</v>
      </c>
      <c r="H69" s="3">
        <f t="shared" ref="H69:H74" si="60">F69+G69</f>
        <v>1451.3999999999999</v>
      </c>
      <c r="I69" s="2">
        <f t="shared" si="59"/>
        <v>1368.3117999999999</v>
      </c>
      <c r="J69" s="1">
        <f t="shared" si="59"/>
        <v>0</v>
      </c>
      <c r="K69" s="3">
        <f t="shared" ref="K69:K74" si="61">I69+J69</f>
        <v>1368.3117999999999</v>
      </c>
      <c r="L69" s="2">
        <f t="shared" ref="L69:M69" si="62">L71+L72</f>
        <v>1461.1067</v>
      </c>
      <c r="M69" s="1">
        <f t="shared" si="62"/>
        <v>0</v>
      </c>
      <c r="N69" s="3">
        <f t="shared" si="50"/>
        <v>1461.1067</v>
      </c>
      <c r="O69" s="2">
        <f t="shared" ref="O69:P69" si="63">O71+O72</f>
        <v>1525.3954000000001</v>
      </c>
      <c r="P69" s="1">
        <f t="shared" si="63"/>
        <v>0</v>
      </c>
      <c r="Q69" s="3">
        <f t="shared" si="52"/>
        <v>1525.3954000000001</v>
      </c>
      <c r="R69" s="2">
        <f t="shared" ref="R69:S69" si="64">R71+R72</f>
        <v>1589.4621</v>
      </c>
      <c r="S69" s="1">
        <f t="shared" si="64"/>
        <v>0</v>
      </c>
      <c r="T69" s="3">
        <f t="shared" si="47"/>
        <v>1589.4621</v>
      </c>
      <c r="U69" s="10">
        <f t="shared" si="58"/>
        <v>378.31610000000001</v>
      </c>
      <c r="V69" s="11">
        <f t="shared" si="58"/>
        <v>8767.4099000000006</v>
      </c>
      <c r="W69" s="131"/>
      <c r="X69" s="21"/>
      <c r="Y69" s="132"/>
      <c r="Z69" s="132"/>
    </row>
    <row r="70" spans="1:26" x14ac:dyDescent="0.2">
      <c r="A70" s="254"/>
      <c r="B70" s="129" t="s">
        <v>2</v>
      </c>
      <c r="C70" s="92"/>
      <c r="D70" s="9"/>
      <c r="E70" s="11">
        <f>C70+D70</f>
        <v>0</v>
      </c>
      <c r="F70" s="9"/>
      <c r="G70" s="9"/>
      <c r="H70" s="11">
        <f t="shared" si="60"/>
        <v>0</v>
      </c>
      <c r="I70" s="10"/>
      <c r="J70" s="9"/>
      <c r="K70" s="11">
        <f t="shared" si="61"/>
        <v>0</v>
      </c>
      <c r="L70" s="10"/>
      <c r="M70" s="9"/>
      <c r="N70" s="11">
        <f t="shared" si="50"/>
        <v>0</v>
      </c>
      <c r="O70" s="10"/>
      <c r="P70" s="9"/>
      <c r="Q70" s="11">
        <f t="shared" si="52"/>
        <v>0</v>
      </c>
      <c r="R70" s="10"/>
      <c r="S70" s="9"/>
      <c r="T70" s="11">
        <f t="shared" si="47"/>
        <v>0</v>
      </c>
      <c r="U70" s="10">
        <f t="shared" si="58"/>
        <v>0</v>
      </c>
      <c r="V70" s="11">
        <f t="shared" si="58"/>
        <v>0</v>
      </c>
      <c r="W70" s="128"/>
      <c r="X70" s="19"/>
      <c r="Y70" s="30"/>
      <c r="Z70" s="30"/>
    </row>
    <row r="71" spans="1:26" hidden="1" x14ac:dyDescent="0.2">
      <c r="A71" s="254"/>
      <c r="B71" s="130"/>
      <c r="C71" s="92"/>
      <c r="D71" s="9"/>
      <c r="E71" s="11"/>
      <c r="F71" s="9"/>
      <c r="G71" s="9"/>
      <c r="H71" s="11">
        <f t="shared" si="60"/>
        <v>0</v>
      </c>
      <c r="I71" s="10"/>
      <c r="J71" s="9"/>
      <c r="K71" s="11">
        <f t="shared" si="61"/>
        <v>0</v>
      </c>
      <c r="L71" s="10"/>
      <c r="M71" s="9"/>
      <c r="N71" s="11">
        <f t="shared" si="50"/>
        <v>0</v>
      </c>
      <c r="O71" s="10"/>
      <c r="P71" s="9"/>
      <c r="Q71" s="11">
        <f t="shared" si="52"/>
        <v>0</v>
      </c>
      <c r="R71" s="10"/>
      <c r="S71" s="9"/>
      <c r="T71" s="11">
        <f t="shared" si="47"/>
        <v>0</v>
      </c>
      <c r="U71" s="10">
        <f t="shared" si="58"/>
        <v>0</v>
      </c>
      <c r="V71" s="11">
        <f t="shared" si="58"/>
        <v>0</v>
      </c>
      <c r="W71" s="128"/>
      <c r="X71" s="19"/>
      <c r="Y71" s="30"/>
      <c r="Z71" s="30"/>
    </row>
    <row r="72" spans="1:26" x14ac:dyDescent="0.2">
      <c r="A72" s="254"/>
      <c r="B72" s="130" t="s">
        <v>26</v>
      </c>
      <c r="C72" s="92">
        <v>1371.7338999999999</v>
      </c>
      <c r="D72" s="9">
        <v>0</v>
      </c>
      <c r="E72" s="11">
        <f>C72+D72</f>
        <v>1371.7338999999999</v>
      </c>
      <c r="F72" s="10">
        <v>1073.0838999999999</v>
      </c>
      <c r="G72" s="9">
        <f>1295.3-916.9839</f>
        <v>378.31610000000001</v>
      </c>
      <c r="H72" s="11">
        <f t="shared" si="60"/>
        <v>1451.3999999999999</v>
      </c>
      <c r="I72" s="10">
        <v>1368.3117999999999</v>
      </c>
      <c r="J72" s="9">
        <v>0</v>
      </c>
      <c r="K72" s="11">
        <f t="shared" si="61"/>
        <v>1368.3117999999999</v>
      </c>
      <c r="L72" s="10">
        <v>1461.1067</v>
      </c>
      <c r="M72" s="9"/>
      <c r="N72" s="11">
        <f t="shared" si="50"/>
        <v>1461.1067</v>
      </c>
      <c r="O72" s="10">
        <v>1525.3954000000001</v>
      </c>
      <c r="P72" s="9"/>
      <c r="Q72" s="11">
        <f t="shared" si="52"/>
        <v>1525.3954000000001</v>
      </c>
      <c r="R72" s="10">
        <v>1589.4621</v>
      </c>
      <c r="S72" s="9"/>
      <c r="T72" s="11">
        <f t="shared" si="47"/>
        <v>1589.4621</v>
      </c>
      <c r="U72" s="10">
        <f t="shared" si="58"/>
        <v>378.31610000000001</v>
      </c>
      <c r="V72" s="11">
        <f t="shared" si="58"/>
        <v>8767.4099000000006</v>
      </c>
      <c r="W72" s="128"/>
      <c r="X72" s="19"/>
      <c r="Y72" s="30"/>
      <c r="Z72" s="30"/>
    </row>
    <row r="73" spans="1:26" ht="25.5" x14ac:dyDescent="0.2">
      <c r="A73" s="254">
        <v>14</v>
      </c>
      <c r="B73" s="127" t="s">
        <v>27</v>
      </c>
      <c r="C73" s="45">
        <f>C77+C75+C76</f>
        <v>1443.6</v>
      </c>
      <c r="D73" s="1">
        <f>D77+D75+D76</f>
        <v>1081.5999999999999</v>
      </c>
      <c r="E73" s="3">
        <f>C73+D73</f>
        <v>2525.1999999999998</v>
      </c>
      <c r="F73" s="1">
        <f>F77+F75+F76</f>
        <v>1413.9804999999999</v>
      </c>
      <c r="G73" s="1">
        <f>G77+G75+G76</f>
        <v>1140.0999999999999</v>
      </c>
      <c r="H73" s="3">
        <f t="shared" si="60"/>
        <v>2554.0805</v>
      </c>
      <c r="I73" s="2">
        <f>I77+I75+I76</f>
        <v>1642.6</v>
      </c>
      <c r="J73" s="1">
        <f>J77+J75+J76</f>
        <v>1192.5</v>
      </c>
      <c r="K73" s="3">
        <f t="shared" si="61"/>
        <v>2835.1</v>
      </c>
      <c r="L73" s="2">
        <f>L77+L75+L76</f>
        <v>1718.6000000000001</v>
      </c>
      <c r="M73" s="1">
        <f>M77+M75+M76</f>
        <v>1252.0999999999999</v>
      </c>
      <c r="N73" s="3">
        <f t="shared" si="50"/>
        <v>2970.7</v>
      </c>
      <c r="O73" s="2">
        <f>O77+O75+O76</f>
        <v>1794.2</v>
      </c>
      <c r="P73" s="1">
        <f>P77+P75+P76</f>
        <v>1314.7</v>
      </c>
      <c r="Q73" s="3">
        <f t="shared" si="52"/>
        <v>3108.9</v>
      </c>
      <c r="R73" s="2">
        <f>R77+R75+R76</f>
        <v>1869.6</v>
      </c>
      <c r="S73" s="1">
        <f>S77+S75+S76</f>
        <v>1380.4</v>
      </c>
      <c r="T73" s="3">
        <f t="shared" si="47"/>
        <v>3250</v>
      </c>
      <c r="U73" s="10">
        <f>D73+G73+J73+M73+P73+S73</f>
        <v>7361.4</v>
      </c>
      <c r="V73" s="11">
        <f>E73+H73+K73+N73+Q73+T73</f>
        <v>17243.980499999998</v>
      </c>
      <c r="W73" s="131"/>
      <c r="X73" s="21"/>
      <c r="Y73" s="132"/>
      <c r="Z73" s="132"/>
    </row>
    <row r="74" spans="1:26" x14ac:dyDescent="0.2">
      <c r="A74" s="254"/>
      <c r="B74" s="129" t="s">
        <v>2</v>
      </c>
      <c r="C74" s="92"/>
      <c r="D74" s="9"/>
      <c r="E74" s="11">
        <f>C74+D74</f>
        <v>0</v>
      </c>
      <c r="F74" s="9"/>
      <c r="G74" s="9"/>
      <c r="H74" s="11">
        <f t="shared" si="60"/>
        <v>0</v>
      </c>
      <c r="I74" s="10"/>
      <c r="J74" s="9"/>
      <c r="K74" s="11">
        <f t="shared" si="61"/>
        <v>0</v>
      </c>
      <c r="L74" s="10"/>
      <c r="M74" s="9"/>
      <c r="N74" s="11">
        <f t="shared" si="50"/>
        <v>0</v>
      </c>
      <c r="O74" s="10"/>
      <c r="P74" s="9"/>
      <c r="Q74" s="11">
        <f t="shared" si="52"/>
        <v>0</v>
      </c>
      <c r="R74" s="10"/>
      <c r="S74" s="9"/>
      <c r="T74" s="11">
        <f t="shared" si="47"/>
        <v>0</v>
      </c>
      <c r="U74" s="10">
        <f>D74+G74+J74+M74+P74+S74</f>
        <v>0</v>
      </c>
      <c r="V74" s="11">
        <f>E74+H74+K74+N74+Q74+T74</f>
        <v>0</v>
      </c>
      <c r="W74" s="128"/>
      <c r="X74" s="19"/>
      <c r="Y74" s="30"/>
      <c r="Z74" s="30"/>
    </row>
    <row r="75" spans="1:26" hidden="1" x14ac:dyDescent="0.2">
      <c r="A75" s="254"/>
      <c r="B75" s="130"/>
      <c r="C75" s="92"/>
      <c r="D75" s="9"/>
      <c r="E75" s="11"/>
      <c r="F75" s="9"/>
      <c r="G75" s="9"/>
      <c r="H75" s="11"/>
      <c r="I75" s="10"/>
      <c r="J75" s="9"/>
      <c r="K75" s="11"/>
      <c r="L75" s="10"/>
      <c r="M75" s="9"/>
      <c r="N75" s="11"/>
      <c r="O75" s="10"/>
      <c r="P75" s="9"/>
      <c r="Q75" s="11"/>
      <c r="R75" s="10"/>
      <c r="S75" s="9"/>
      <c r="T75" s="11"/>
      <c r="U75" s="10"/>
      <c r="V75" s="11"/>
      <c r="W75" s="128"/>
      <c r="X75" s="19"/>
      <c r="Y75" s="30"/>
      <c r="Z75" s="30"/>
    </row>
    <row r="76" spans="1:26" x14ac:dyDescent="0.2">
      <c r="A76" s="254"/>
      <c r="B76" s="130" t="s">
        <v>28</v>
      </c>
      <c r="C76" s="92">
        <v>519.6</v>
      </c>
      <c r="D76" s="9">
        <v>605.6</v>
      </c>
      <c r="E76" s="11">
        <f>C76+D76</f>
        <v>1125.2</v>
      </c>
      <c r="F76" s="10">
        <v>490.18049999999994</v>
      </c>
      <c r="G76" s="9">
        <v>584.20000000000005</v>
      </c>
      <c r="H76" s="11">
        <f>F76+G76</f>
        <v>1074.3805</v>
      </c>
      <c r="I76" s="10">
        <v>496.3</v>
      </c>
      <c r="J76" s="9">
        <v>775.2</v>
      </c>
      <c r="K76" s="11">
        <f>I76+J76</f>
        <v>1271.5</v>
      </c>
      <c r="L76" s="10">
        <v>535.70000000000005</v>
      </c>
      <c r="M76" s="9">
        <v>776.7</v>
      </c>
      <c r="N76" s="11">
        <f>L76+M76</f>
        <v>1312.4</v>
      </c>
      <c r="O76" s="10">
        <v>536</v>
      </c>
      <c r="P76" s="9">
        <v>814.4</v>
      </c>
      <c r="Q76" s="11">
        <f>O76+P76</f>
        <v>1350.4</v>
      </c>
      <c r="R76" s="10">
        <v>536.4</v>
      </c>
      <c r="S76" s="9">
        <v>848.6</v>
      </c>
      <c r="T76" s="11">
        <f>R76+S76</f>
        <v>1385</v>
      </c>
      <c r="U76" s="10">
        <f>D76+G76+J76+M76+P76+S76</f>
        <v>4404.7000000000007</v>
      </c>
      <c r="V76" s="11">
        <f>E76+H76+K76+N76+Q76+T76</f>
        <v>7518.8804999999993</v>
      </c>
      <c r="W76" s="128"/>
      <c r="X76" s="19"/>
      <c r="Y76" s="30"/>
      <c r="Z76" s="30"/>
    </row>
    <row r="77" spans="1:26" ht="25.5" x14ac:dyDescent="0.2">
      <c r="A77" s="254"/>
      <c r="B77" s="130" t="s">
        <v>125</v>
      </c>
      <c r="C77" s="92">
        <v>924</v>
      </c>
      <c r="D77" s="9">
        <v>476</v>
      </c>
      <c r="E77" s="11">
        <f>C77+D77</f>
        <v>1400</v>
      </c>
      <c r="F77" s="10">
        <v>923.8</v>
      </c>
      <c r="G77" s="9">
        <v>555.9</v>
      </c>
      <c r="H77" s="11">
        <f>F77+G77</f>
        <v>1479.6999999999998</v>
      </c>
      <c r="I77" s="10">
        <v>1146.3</v>
      </c>
      <c r="J77" s="9">
        <v>417.3</v>
      </c>
      <c r="K77" s="11">
        <f>I77+J77</f>
        <v>1563.6</v>
      </c>
      <c r="L77" s="10">
        <v>1182.9000000000001</v>
      </c>
      <c r="M77" s="9">
        <v>475.4</v>
      </c>
      <c r="N77" s="11">
        <f>L77+M77</f>
        <v>1658.3000000000002</v>
      </c>
      <c r="O77" s="10">
        <v>1258.2</v>
      </c>
      <c r="P77" s="9">
        <v>500.3</v>
      </c>
      <c r="Q77" s="11">
        <f>O77+P77</f>
        <v>1758.5</v>
      </c>
      <c r="R77" s="10">
        <v>1333.2</v>
      </c>
      <c r="S77" s="9">
        <v>531.79999999999995</v>
      </c>
      <c r="T77" s="11">
        <f>R77+S77</f>
        <v>1865</v>
      </c>
      <c r="U77" s="10">
        <f>D77+G77+J77+M77+P77+S77</f>
        <v>2956.7</v>
      </c>
      <c r="V77" s="11">
        <f>E77+H77+K77+N77+Q77+T77</f>
        <v>9725.0999999999985</v>
      </c>
      <c r="W77" s="128"/>
      <c r="X77" s="19"/>
      <c r="Y77" s="30"/>
      <c r="Z77" s="30"/>
    </row>
    <row r="78" spans="1:26" ht="25.5" x14ac:dyDescent="0.2">
      <c r="A78" s="281">
        <v>15</v>
      </c>
      <c r="B78" s="127" t="s">
        <v>29</v>
      </c>
      <c r="C78" s="45">
        <f>SUM(C80)</f>
        <v>1000</v>
      </c>
      <c r="D78" s="1">
        <f t="shared" ref="D78:J78" si="65">D80</f>
        <v>0</v>
      </c>
      <c r="E78" s="3">
        <f>C78+D78</f>
        <v>1000</v>
      </c>
      <c r="F78" s="1">
        <f>SUM(F80)</f>
        <v>1000</v>
      </c>
      <c r="G78" s="1">
        <f t="shared" si="65"/>
        <v>0</v>
      </c>
      <c r="H78" s="3">
        <f>SUM(H80)</f>
        <v>1000</v>
      </c>
      <c r="I78" s="2">
        <f>I80</f>
        <v>1000</v>
      </c>
      <c r="J78" s="1">
        <f t="shared" si="65"/>
        <v>0</v>
      </c>
      <c r="K78" s="3">
        <f t="shared" ref="K78:K88" si="66">I78+J78</f>
        <v>1000</v>
      </c>
      <c r="L78" s="2">
        <f>L80</f>
        <v>1000</v>
      </c>
      <c r="M78" s="1">
        <f t="shared" ref="M78" si="67">M80</f>
        <v>0</v>
      </c>
      <c r="N78" s="3">
        <f t="shared" si="50"/>
        <v>1000</v>
      </c>
      <c r="O78" s="2">
        <f>O80</f>
        <v>1000</v>
      </c>
      <c r="P78" s="1">
        <f t="shared" ref="P78" si="68">P80</f>
        <v>0</v>
      </c>
      <c r="Q78" s="3">
        <f t="shared" si="52"/>
        <v>1000</v>
      </c>
      <c r="R78" s="2">
        <f>R80</f>
        <v>1000</v>
      </c>
      <c r="S78" s="1">
        <f t="shared" ref="S78" si="69">S80</f>
        <v>0</v>
      </c>
      <c r="T78" s="3">
        <f t="shared" si="47"/>
        <v>1000</v>
      </c>
      <c r="U78" s="10">
        <f t="shared" ref="U78:V85" si="70">D78+G78+J78+M78+P78+S78</f>
        <v>0</v>
      </c>
      <c r="V78" s="11">
        <f t="shared" si="70"/>
        <v>6000</v>
      </c>
      <c r="W78" s="133" t="s">
        <v>75</v>
      </c>
      <c r="X78" s="22"/>
      <c r="Y78" s="134"/>
      <c r="Z78" s="134"/>
    </row>
    <row r="79" spans="1:26" ht="30" customHeight="1" x14ac:dyDescent="0.2">
      <c r="A79" s="282"/>
      <c r="B79" s="129" t="s">
        <v>2</v>
      </c>
      <c r="C79" s="92"/>
      <c r="D79" s="9"/>
      <c r="E79" s="11">
        <f t="shared" ref="E79:E88" si="71">C79+D79</f>
        <v>0</v>
      </c>
      <c r="F79" s="9"/>
      <c r="G79" s="9"/>
      <c r="H79" s="11">
        <f t="shared" ref="H79:H88" si="72">F79+G79</f>
        <v>0</v>
      </c>
      <c r="I79" s="10"/>
      <c r="J79" s="9"/>
      <c r="K79" s="11">
        <f t="shared" si="66"/>
        <v>0</v>
      </c>
      <c r="L79" s="10"/>
      <c r="M79" s="9"/>
      <c r="N79" s="11">
        <f t="shared" si="50"/>
        <v>0</v>
      </c>
      <c r="O79" s="10"/>
      <c r="P79" s="9"/>
      <c r="Q79" s="11">
        <f t="shared" si="52"/>
        <v>0</v>
      </c>
      <c r="R79" s="10"/>
      <c r="S79" s="9"/>
      <c r="T79" s="11">
        <f t="shared" si="47"/>
        <v>0</v>
      </c>
      <c r="U79" s="10">
        <f t="shared" si="70"/>
        <v>0</v>
      </c>
      <c r="V79" s="11">
        <f t="shared" si="70"/>
        <v>0</v>
      </c>
      <c r="W79" s="280" t="s">
        <v>127</v>
      </c>
      <c r="X79" s="19"/>
      <c r="Y79" s="30"/>
      <c r="Z79" s="30"/>
    </row>
    <row r="80" spans="1:26" ht="17.25" customHeight="1" x14ac:dyDescent="0.2">
      <c r="A80" s="282"/>
      <c r="B80" s="130" t="s">
        <v>30</v>
      </c>
      <c r="C80" s="92">
        <v>1000</v>
      </c>
      <c r="D80" s="9"/>
      <c r="E80" s="11">
        <f t="shared" si="71"/>
        <v>1000</v>
      </c>
      <c r="F80" s="10">
        <v>1000</v>
      </c>
      <c r="G80" s="9"/>
      <c r="H80" s="11">
        <f t="shared" si="72"/>
        <v>1000</v>
      </c>
      <c r="I80" s="10">
        <v>1000</v>
      </c>
      <c r="J80" s="9"/>
      <c r="K80" s="11">
        <f t="shared" si="66"/>
        <v>1000</v>
      </c>
      <c r="L80" s="10">
        <v>1000</v>
      </c>
      <c r="M80" s="9"/>
      <c r="N80" s="11">
        <f t="shared" si="50"/>
        <v>1000</v>
      </c>
      <c r="O80" s="10">
        <v>1000</v>
      </c>
      <c r="P80" s="9"/>
      <c r="Q80" s="11">
        <f t="shared" si="52"/>
        <v>1000</v>
      </c>
      <c r="R80" s="10">
        <v>1000</v>
      </c>
      <c r="S80" s="9"/>
      <c r="T80" s="11">
        <f t="shared" si="47"/>
        <v>1000</v>
      </c>
      <c r="U80" s="10">
        <f t="shared" si="70"/>
        <v>0</v>
      </c>
      <c r="V80" s="11">
        <f t="shared" si="70"/>
        <v>6000</v>
      </c>
      <c r="W80" s="280"/>
      <c r="X80" s="19"/>
      <c r="Y80" s="30"/>
      <c r="Z80" s="30"/>
    </row>
    <row r="81" spans="1:26" ht="17.25" hidden="1" customHeight="1" x14ac:dyDescent="0.2">
      <c r="A81" s="283"/>
      <c r="B81" s="130"/>
      <c r="C81" s="92" t="s">
        <v>166</v>
      </c>
      <c r="D81" s="9">
        <v>6153.5290000000005</v>
      </c>
      <c r="E81" s="11"/>
      <c r="F81" s="92"/>
      <c r="G81" s="9">
        <v>5401.9982</v>
      </c>
      <c r="H81" s="11"/>
      <c r="I81" s="10"/>
      <c r="J81" s="9">
        <v>6513.8099000000002</v>
      </c>
      <c r="K81" s="11"/>
      <c r="L81" s="10"/>
      <c r="M81" s="9"/>
      <c r="N81" s="11"/>
      <c r="O81" s="10"/>
      <c r="P81" s="9"/>
      <c r="Q81" s="11"/>
      <c r="R81" s="10"/>
      <c r="S81" s="9"/>
      <c r="T81" s="11"/>
      <c r="U81" s="10"/>
      <c r="V81" s="11"/>
      <c r="W81" s="135"/>
      <c r="X81" s="19"/>
      <c r="Y81" s="30"/>
      <c r="Z81" s="30"/>
    </row>
    <row r="82" spans="1:26" ht="38.25" x14ac:dyDescent="0.2">
      <c r="A82" s="254">
        <v>16</v>
      </c>
      <c r="B82" s="127" t="s">
        <v>31</v>
      </c>
      <c r="C82" s="45">
        <f>C85+C84</f>
        <v>23138.100299999998</v>
      </c>
      <c r="D82" s="45">
        <f>D85+D84</f>
        <v>8453.8209999999999</v>
      </c>
      <c r="E82" s="3">
        <f t="shared" si="71"/>
        <v>31591.921299999998</v>
      </c>
      <c r="F82" s="1">
        <f t="shared" ref="F82:G82" si="73">F85+F84</f>
        <v>21992.538499999999</v>
      </c>
      <c r="G82" s="1">
        <f t="shared" si="73"/>
        <v>9510.4645999999993</v>
      </c>
      <c r="H82" s="3">
        <f t="shared" si="72"/>
        <v>31503.003099999998</v>
      </c>
      <c r="I82" s="2">
        <f t="shared" ref="I82:S82" si="74">I85+I84</f>
        <v>19415.949499999999</v>
      </c>
      <c r="J82" s="1">
        <f t="shared" si="74"/>
        <v>11453.981</v>
      </c>
      <c r="K82" s="3">
        <f>K85+K84</f>
        <v>30869.930499999999</v>
      </c>
      <c r="L82" s="2">
        <f>L85+L84</f>
        <v>15933.748600000001</v>
      </c>
      <c r="M82" s="1">
        <f t="shared" si="74"/>
        <v>12565.056500000001</v>
      </c>
      <c r="N82" s="3">
        <f t="shared" si="50"/>
        <v>28498.805100000001</v>
      </c>
      <c r="O82" s="1">
        <f t="shared" si="74"/>
        <v>11733.594000000001</v>
      </c>
      <c r="P82" s="1">
        <f t="shared" si="74"/>
        <v>13528.841399999999</v>
      </c>
      <c r="Q82" s="3">
        <f t="shared" si="52"/>
        <v>25262.435400000002</v>
      </c>
      <c r="R82" s="1">
        <f t="shared" si="74"/>
        <v>8556.2479000000003</v>
      </c>
      <c r="S82" s="1">
        <f t="shared" si="74"/>
        <v>14141.6981</v>
      </c>
      <c r="T82" s="3">
        <f t="shared" si="47"/>
        <v>22697.946</v>
      </c>
      <c r="U82" s="10">
        <f t="shared" si="70"/>
        <v>69653.862599999993</v>
      </c>
      <c r="V82" s="11">
        <f t="shared" si="70"/>
        <v>170424.04139999999</v>
      </c>
      <c r="W82" s="128"/>
      <c r="X82" s="19"/>
      <c r="Y82" s="30"/>
      <c r="Z82" s="30"/>
    </row>
    <row r="83" spans="1:26" x14ac:dyDescent="0.2">
      <c r="A83" s="254"/>
      <c r="B83" s="129" t="s">
        <v>2</v>
      </c>
      <c r="C83" s="92"/>
      <c r="D83" s="9"/>
      <c r="E83" s="11">
        <f t="shared" si="71"/>
        <v>0</v>
      </c>
      <c r="F83" s="9"/>
      <c r="G83" s="9"/>
      <c r="H83" s="11">
        <f t="shared" si="72"/>
        <v>0</v>
      </c>
      <c r="I83" s="10"/>
      <c r="J83" s="9"/>
      <c r="K83" s="11">
        <f t="shared" si="66"/>
        <v>0</v>
      </c>
      <c r="L83" s="10"/>
      <c r="M83" s="9"/>
      <c r="N83" s="11">
        <f t="shared" si="50"/>
        <v>0</v>
      </c>
      <c r="O83" s="10"/>
      <c r="P83" s="9"/>
      <c r="Q83" s="11">
        <f t="shared" si="52"/>
        <v>0</v>
      </c>
      <c r="R83" s="10"/>
      <c r="S83" s="9"/>
      <c r="T83" s="11">
        <f t="shared" si="47"/>
        <v>0</v>
      </c>
      <c r="U83" s="10">
        <f t="shared" si="70"/>
        <v>0</v>
      </c>
      <c r="V83" s="11">
        <f t="shared" si="70"/>
        <v>0</v>
      </c>
      <c r="W83" s="128"/>
      <c r="X83" s="19"/>
      <c r="Y83" s="30"/>
      <c r="Z83" s="30"/>
    </row>
    <row r="84" spans="1:26" ht="49.5" customHeight="1" x14ac:dyDescent="0.2">
      <c r="A84" s="254"/>
      <c r="B84" s="130" t="s">
        <v>32</v>
      </c>
      <c r="C84" s="92">
        <v>0</v>
      </c>
      <c r="D84" s="12">
        <v>2867.8209999999999</v>
      </c>
      <c r="E84" s="11">
        <f>D84</f>
        <v>2867.8209999999999</v>
      </c>
      <c r="F84" s="10">
        <v>0</v>
      </c>
      <c r="G84" s="12">
        <v>2810.4645999999998</v>
      </c>
      <c r="H84" s="11">
        <f t="shared" si="72"/>
        <v>2810.4645999999998</v>
      </c>
      <c r="I84" s="10">
        <v>0</v>
      </c>
      <c r="J84" s="12">
        <v>3253.9810000000002</v>
      </c>
      <c r="K84" s="11">
        <f t="shared" si="66"/>
        <v>3253.9810000000002</v>
      </c>
      <c r="L84" s="10">
        <v>709.6</v>
      </c>
      <c r="M84" s="12">
        <v>2765.0565000000001</v>
      </c>
      <c r="N84" s="11">
        <f t="shared" si="50"/>
        <v>3474.6565000000001</v>
      </c>
      <c r="O84" s="10">
        <v>1078.7</v>
      </c>
      <c r="P84" s="12">
        <v>2548.8413999999998</v>
      </c>
      <c r="Q84" s="11">
        <f t="shared" si="52"/>
        <v>3627.5414000000001</v>
      </c>
      <c r="R84" s="10">
        <v>1638.2</v>
      </c>
      <c r="S84" s="12">
        <v>2141.6981000000001</v>
      </c>
      <c r="T84" s="11">
        <f t="shared" si="47"/>
        <v>3779.8981000000003</v>
      </c>
      <c r="U84" s="10">
        <f t="shared" si="70"/>
        <v>16387.8626</v>
      </c>
      <c r="V84" s="11">
        <f t="shared" si="70"/>
        <v>19814.3626</v>
      </c>
      <c r="W84" s="136" t="s">
        <v>122</v>
      </c>
      <c r="X84" s="19"/>
      <c r="Y84" s="30"/>
      <c r="Z84" s="30"/>
    </row>
    <row r="85" spans="1:26" ht="38.25" x14ac:dyDescent="0.2">
      <c r="A85" s="254"/>
      <c r="B85" s="236" t="s">
        <v>33</v>
      </c>
      <c r="C85" s="92">
        <v>23138.100299999998</v>
      </c>
      <c r="D85" s="237">
        <v>5586</v>
      </c>
      <c r="E85" s="11">
        <f t="shared" si="71"/>
        <v>28724.100299999998</v>
      </c>
      <c r="F85" s="9">
        <v>21992.538499999999</v>
      </c>
      <c r="G85" s="9">
        <v>6700</v>
      </c>
      <c r="H85" s="11">
        <f t="shared" si="72"/>
        <v>28692.538499999999</v>
      </c>
      <c r="I85" s="10">
        <v>19415.949499999999</v>
      </c>
      <c r="J85" s="9">
        <v>8200</v>
      </c>
      <c r="K85" s="11">
        <f t="shared" si="66"/>
        <v>27615.949499999999</v>
      </c>
      <c r="L85" s="10">
        <v>15224.1486</v>
      </c>
      <c r="M85" s="9">
        <v>9800</v>
      </c>
      <c r="N85" s="11">
        <f t="shared" si="50"/>
        <v>25024.1486</v>
      </c>
      <c r="O85" s="10">
        <v>10654.894</v>
      </c>
      <c r="P85" s="9">
        <v>10980</v>
      </c>
      <c r="Q85" s="11">
        <f t="shared" si="52"/>
        <v>21634.894</v>
      </c>
      <c r="R85" s="10">
        <v>6918.0478999999996</v>
      </c>
      <c r="S85" s="9">
        <v>12000</v>
      </c>
      <c r="T85" s="11">
        <f t="shared" si="47"/>
        <v>18918.047899999998</v>
      </c>
      <c r="U85" s="10">
        <f t="shared" si="70"/>
        <v>53266</v>
      </c>
      <c r="V85" s="11">
        <f t="shared" si="70"/>
        <v>150609.67879999999</v>
      </c>
      <c r="W85" s="128"/>
      <c r="X85" s="19"/>
      <c r="Y85" s="30"/>
      <c r="Z85" s="30"/>
    </row>
    <row r="86" spans="1:26" x14ac:dyDescent="0.2">
      <c r="A86" s="254">
        <v>17</v>
      </c>
      <c r="B86" s="127" t="s">
        <v>34</v>
      </c>
      <c r="C86" s="45">
        <f>C88</f>
        <v>1425</v>
      </c>
      <c r="D86" s="1">
        <f t="shared" ref="D86:J86" si="75">D88</f>
        <v>0</v>
      </c>
      <c r="E86" s="3">
        <f t="shared" si="71"/>
        <v>1425</v>
      </c>
      <c r="F86" s="1">
        <f t="shared" si="75"/>
        <v>1261.0383999999999</v>
      </c>
      <c r="G86" s="1">
        <f t="shared" si="75"/>
        <v>25.735500000000002</v>
      </c>
      <c r="H86" s="3">
        <f t="shared" si="72"/>
        <v>1286.7738999999999</v>
      </c>
      <c r="I86" s="2">
        <f t="shared" si="75"/>
        <v>1391.8413</v>
      </c>
      <c r="J86" s="1">
        <f t="shared" si="75"/>
        <v>27.673399999999901</v>
      </c>
      <c r="K86" s="3">
        <f t="shared" si="66"/>
        <v>1419.5146999999999</v>
      </c>
      <c r="L86" s="2">
        <f t="shared" ref="L86:M86" si="76">L88</f>
        <v>1486.2319</v>
      </c>
      <c r="M86" s="1">
        <f t="shared" si="76"/>
        <v>0</v>
      </c>
      <c r="N86" s="3">
        <f t="shared" si="50"/>
        <v>1486.2319</v>
      </c>
      <c r="O86" s="2">
        <f t="shared" ref="O86:P86" si="77">O88</f>
        <v>1551.6261</v>
      </c>
      <c r="P86" s="1">
        <f t="shared" si="77"/>
        <v>0</v>
      </c>
      <c r="Q86" s="3">
        <f t="shared" si="52"/>
        <v>1551.6261</v>
      </c>
      <c r="R86" s="2">
        <f t="shared" ref="R86:S86" si="78">R88</f>
        <v>1616.7944</v>
      </c>
      <c r="S86" s="1">
        <f t="shared" si="78"/>
        <v>0</v>
      </c>
      <c r="T86" s="3">
        <f t="shared" si="47"/>
        <v>1616.7944</v>
      </c>
      <c r="U86" s="10">
        <f t="shared" ref="U86:V88" si="79">D86+G86+J86+M86+P86+S86</f>
        <v>53.408899999999903</v>
      </c>
      <c r="V86" s="11">
        <f t="shared" si="79"/>
        <v>8785.9410000000007</v>
      </c>
      <c r="W86" s="128"/>
      <c r="X86" s="19"/>
      <c r="Y86" s="30"/>
      <c r="Z86" s="30"/>
    </row>
    <row r="87" spans="1:26" x14ac:dyDescent="0.2">
      <c r="A87" s="254"/>
      <c r="B87" s="129" t="s">
        <v>2</v>
      </c>
      <c r="C87" s="92"/>
      <c r="D87" s="9"/>
      <c r="E87" s="11">
        <f t="shared" si="71"/>
        <v>0</v>
      </c>
      <c r="F87" s="9"/>
      <c r="G87" s="9"/>
      <c r="H87" s="11">
        <f t="shared" si="72"/>
        <v>0</v>
      </c>
      <c r="I87" s="10"/>
      <c r="J87" s="9"/>
      <c r="K87" s="11">
        <f t="shared" si="66"/>
        <v>0</v>
      </c>
      <c r="L87" s="10"/>
      <c r="M87" s="9"/>
      <c r="N87" s="11">
        <f t="shared" si="50"/>
        <v>0</v>
      </c>
      <c r="O87" s="10"/>
      <c r="P87" s="9"/>
      <c r="Q87" s="11">
        <f t="shared" si="52"/>
        <v>0</v>
      </c>
      <c r="R87" s="10"/>
      <c r="S87" s="9"/>
      <c r="T87" s="11">
        <f t="shared" si="47"/>
        <v>0</v>
      </c>
      <c r="U87" s="10">
        <f t="shared" si="79"/>
        <v>0</v>
      </c>
      <c r="V87" s="11">
        <f t="shared" si="79"/>
        <v>0</v>
      </c>
      <c r="W87" s="128"/>
      <c r="X87" s="19"/>
      <c r="Y87" s="30"/>
      <c r="Z87" s="30"/>
    </row>
    <row r="88" spans="1:26" ht="13.5" thickBot="1" x14ac:dyDescent="0.25">
      <c r="A88" s="277"/>
      <c r="B88" s="137" t="s">
        <v>35</v>
      </c>
      <c r="C88" s="104">
        <v>1425</v>
      </c>
      <c r="D88" s="58"/>
      <c r="E88" s="59">
        <f t="shared" si="71"/>
        <v>1425</v>
      </c>
      <c r="F88" s="58">
        <v>1261.0383999999999</v>
      </c>
      <c r="G88" s="58">
        <v>25.735500000000002</v>
      </c>
      <c r="H88" s="59">
        <f t="shared" si="72"/>
        <v>1286.7738999999999</v>
      </c>
      <c r="I88" s="60">
        <v>1391.8413</v>
      </c>
      <c r="J88" s="58">
        <v>27.673399999999901</v>
      </c>
      <c r="K88" s="59">
        <f t="shared" si="66"/>
        <v>1419.5146999999999</v>
      </c>
      <c r="L88" s="60">
        <v>1486.2319</v>
      </c>
      <c r="M88" s="58"/>
      <c r="N88" s="59">
        <f t="shared" si="50"/>
        <v>1486.2319</v>
      </c>
      <c r="O88" s="60">
        <v>1551.6261</v>
      </c>
      <c r="P88" s="58"/>
      <c r="Q88" s="59">
        <f t="shared" si="52"/>
        <v>1551.6261</v>
      </c>
      <c r="R88" s="60">
        <v>1616.7944</v>
      </c>
      <c r="S88" s="58"/>
      <c r="T88" s="59">
        <f t="shared" si="47"/>
        <v>1616.7944</v>
      </c>
      <c r="U88" s="60">
        <f t="shared" si="79"/>
        <v>53.408899999999903</v>
      </c>
      <c r="V88" s="59">
        <f t="shared" si="79"/>
        <v>8785.9410000000007</v>
      </c>
      <c r="W88" s="138"/>
      <c r="X88" s="19"/>
      <c r="Y88" s="30"/>
      <c r="Z88" s="30"/>
    </row>
    <row r="89" spans="1:26" ht="16.5" customHeight="1" thickBot="1" x14ac:dyDescent="0.25">
      <c r="A89" s="259" t="s">
        <v>36</v>
      </c>
      <c r="B89" s="260"/>
      <c r="C89" s="260"/>
      <c r="D89" s="260"/>
      <c r="E89" s="260"/>
      <c r="F89" s="260"/>
      <c r="G89" s="260"/>
      <c r="H89" s="260"/>
      <c r="I89" s="260"/>
      <c r="J89" s="260"/>
      <c r="K89" s="260"/>
      <c r="L89" s="260"/>
      <c r="M89" s="260"/>
      <c r="N89" s="260"/>
      <c r="O89" s="260"/>
      <c r="P89" s="260"/>
      <c r="Q89" s="260"/>
      <c r="R89" s="260"/>
      <c r="S89" s="260"/>
      <c r="T89" s="260"/>
      <c r="U89" s="260"/>
      <c r="V89" s="260"/>
      <c r="W89" s="261"/>
      <c r="X89" s="16">
        <f>U92</f>
        <v>0</v>
      </c>
      <c r="Y89" s="119"/>
      <c r="Z89" s="119"/>
    </row>
    <row r="90" spans="1:26" ht="13.5" thickBot="1" x14ac:dyDescent="0.25">
      <c r="A90" s="284"/>
      <c r="B90" s="49" t="s">
        <v>88</v>
      </c>
      <c r="C90" s="51">
        <f t="shared" ref="C90:D90" si="80">SUM(C92,C95,C98,C102,C105)</f>
        <v>18850.103500000001</v>
      </c>
      <c r="D90" s="51">
        <f t="shared" si="80"/>
        <v>11700</v>
      </c>
      <c r="E90" s="53">
        <f>SUM(C90:D90)</f>
        <v>30550.103500000001</v>
      </c>
      <c r="F90" s="55">
        <f t="shared" ref="F90:G90" si="81">SUM(F92,F95,F98,F102,F105)</f>
        <v>18600.25</v>
      </c>
      <c r="G90" s="51">
        <f t="shared" si="81"/>
        <v>16216.6</v>
      </c>
      <c r="H90" s="52">
        <f t="shared" ref="H90:H108" si="82">SUM(F90:G90)</f>
        <v>34816.85</v>
      </c>
      <c r="I90" s="55">
        <f t="shared" ref="I90:L90" si="83">SUM(I92,I95,I98,I102,I105)</f>
        <v>21622.001700000001</v>
      </c>
      <c r="J90" s="51">
        <f t="shared" si="83"/>
        <v>21153.118699999999</v>
      </c>
      <c r="K90" s="52">
        <f t="shared" ref="K90:K108" si="84">SUM(I90:J90)</f>
        <v>42775.1204</v>
      </c>
      <c r="L90" s="55">
        <f t="shared" si="83"/>
        <v>32045.5154</v>
      </c>
      <c r="M90" s="51">
        <f t="shared" ref="M90" si="85">SUM(M92,M95,M98,M102,M105)</f>
        <v>13880</v>
      </c>
      <c r="N90" s="52">
        <f t="shared" ref="N90:N108" si="86">SUM(L90:M90)</f>
        <v>45925.515400000004</v>
      </c>
      <c r="O90" s="55">
        <f t="shared" ref="O90:P90" si="87">SUM(O92,O95,O98,O102,O105)</f>
        <v>33060.435700000002</v>
      </c>
      <c r="P90" s="51">
        <f t="shared" si="87"/>
        <v>16772.900000000001</v>
      </c>
      <c r="Q90" s="52">
        <f t="shared" ref="Q90:Q108" si="88">SUM(O90:P90)</f>
        <v>49833.335700000003</v>
      </c>
      <c r="R90" s="55">
        <f t="shared" ref="R90:S90" si="89">SUM(R92,R95,R98,R102,R105)</f>
        <v>34157.313849999999</v>
      </c>
      <c r="S90" s="51">
        <f t="shared" si="89"/>
        <v>18169</v>
      </c>
      <c r="T90" s="52">
        <f t="shared" ref="T90:T108" si="90">SUM(R90:S90)</f>
        <v>52326.313849999999</v>
      </c>
      <c r="U90" s="55">
        <f>SUM(U92,U95,U98,U102,U105)</f>
        <v>97891.618700000006</v>
      </c>
      <c r="V90" s="81">
        <f>SUM(E90,H90,K90,N90,Q90,T90)</f>
        <v>256227.23884999999</v>
      </c>
      <c r="W90" s="204"/>
      <c r="X90" s="16">
        <f>U92+U95+U98+U102+U105</f>
        <v>97891.618700000006</v>
      </c>
      <c r="Y90" s="16"/>
      <c r="Z90" s="16"/>
    </row>
    <row r="91" spans="1:26" hidden="1" x14ac:dyDescent="0.2">
      <c r="A91" s="285"/>
      <c r="B91" s="47"/>
      <c r="C91" s="14"/>
      <c r="D91" s="14"/>
      <c r="E91" s="15"/>
      <c r="F91" s="28"/>
      <c r="G91" s="14"/>
      <c r="H91" s="29">
        <f t="shared" si="82"/>
        <v>0</v>
      </c>
      <c r="I91" s="28"/>
      <c r="J91" s="14"/>
      <c r="K91" s="29">
        <f t="shared" si="84"/>
        <v>0</v>
      </c>
      <c r="L91" s="28"/>
      <c r="M91" s="14"/>
      <c r="N91" s="29">
        <f t="shared" si="86"/>
        <v>0</v>
      </c>
      <c r="O91" s="28"/>
      <c r="P91" s="14"/>
      <c r="Q91" s="29">
        <f t="shared" si="88"/>
        <v>0</v>
      </c>
      <c r="R91" s="28"/>
      <c r="S91" s="14"/>
      <c r="T91" s="29">
        <f t="shared" si="90"/>
        <v>0</v>
      </c>
      <c r="U91" s="42">
        <f t="shared" ref="U91:V108" si="91">SUM(D91,G91,J91,M91,P91,S91)</f>
        <v>0</v>
      </c>
      <c r="V91" s="43">
        <f t="shared" si="91"/>
        <v>0</v>
      </c>
      <c r="W91" s="205"/>
      <c r="X91" s="16">
        <f>W90-W91</f>
        <v>0</v>
      </c>
      <c r="Y91" s="16"/>
      <c r="Z91" s="16"/>
    </row>
    <row r="92" spans="1:26" hidden="1" x14ac:dyDescent="0.2">
      <c r="A92" s="279"/>
      <c r="B92" s="127"/>
      <c r="C92" s="1"/>
      <c r="D92" s="1"/>
      <c r="E92" s="93"/>
      <c r="F92" s="2"/>
      <c r="G92" s="1"/>
      <c r="H92" s="3"/>
      <c r="I92" s="2"/>
      <c r="J92" s="1"/>
      <c r="K92" s="3"/>
      <c r="L92" s="2"/>
      <c r="M92" s="1"/>
      <c r="N92" s="3"/>
      <c r="O92" s="2"/>
      <c r="P92" s="1"/>
      <c r="Q92" s="3"/>
      <c r="R92" s="2"/>
      <c r="S92" s="1"/>
      <c r="T92" s="3"/>
      <c r="U92" s="10"/>
      <c r="V92" s="11"/>
      <c r="W92" s="206"/>
      <c r="X92" s="16"/>
      <c r="Y92" s="119"/>
      <c r="Z92" s="119"/>
    </row>
    <row r="93" spans="1:26" hidden="1" x14ac:dyDescent="0.2">
      <c r="A93" s="279"/>
      <c r="B93" s="129"/>
      <c r="C93" s="9"/>
      <c r="D93" s="9"/>
      <c r="E93" s="74"/>
      <c r="F93" s="10"/>
      <c r="G93" s="9"/>
      <c r="H93" s="3"/>
      <c r="I93" s="10"/>
      <c r="J93" s="9"/>
      <c r="K93" s="3"/>
      <c r="L93" s="10"/>
      <c r="M93" s="9"/>
      <c r="N93" s="3"/>
      <c r="O93" s="10"/>
      <c r="P93" s="9"/>
      <c r="Q93" s="3"/>
      <c r="R93" s="10"/>
      <c r="S93" s="9"/>
      <c r="T93" s="3"/>
      <c r="U93" s="10"/>
      <c r="V93" s="11"/>
      <c r="W93" s="207"/>
      <c r="X93" s="119"/>
      <c r="Y93" s="119"/>
      <c r="Z93" s="119"/>
    </row>
    <row r="94" spans="1:26" hidden="1" x14ac:dyDescent="0.2">
      <c r="A94" s="279"/>
      <c r="B94" s="130"/>
      <c r="C94" s="9"/>
      <c r="D94" s="9"/>
      <c r="E94" s="74"/>
      <c r="F94" s="10"/>
      <c r="G94" s="9"/>
      <c r="H94" s="3"/>
      <c r="I94" s="10"/>
      <c r="J94" s="9"/>
      <c r="K94" s="3"/>
      <c r="L94" s="10"/>
      <c r="M94" s="9"/>
      <c r="N94" s="3"/>
      <c r="O94" s="10"/>
      <c r="P94" s="9"/>
      <c r="Q94" s="3"/>
      <c r="R94" s="10"/>
      <c r="S94" s="9"/>
      <c r="T94" s="3"/>
      <c r="U94" s="10"/>
      <c r="V94" s="11"/>
      <c r="W94" s="207"/>
      <c r="X94" s="119"/>
      <c r="Y94" s="119"/>
      <c r="Z94" s="119"/>
    </row>
    <row r="95" spans="1:26" ht="25.5" x14ac:dyDescent="0.2">
      <c r="A95" s="279">
        <v>18</v>
      </c>
      <c r="B95" s="127" t="s">
        <v>133</v>
      </c>
      <c r="C95" s="9">
        <f>C97</f>
        <v>0</v>
      </c>
      <c r="D95" s="9">
        <f>D97</f>
        <v>0</v>
      </c>
      <c r="E95" s="93">
        <f t="shared" ref="E95" si="92">C95+D95</f>
        <v>0</v>
      </c>
      <c r="F95" s="10">
        <f t="shared" ref="F95:G95" si="93">F97</f>
        <v>0</v>
      </c>
      <c r="G95" s="9">
        <f t="shared" si="93"/>
        <v>0</v>
      </c>
      <c r="H95" s="3">
        <f t="shared" si="82"/>
        <v>0</v>
      </c>
      <c r="I95" s="10"/>
      <c r="J95" s="9">
        <f>J97</f>
        <v>120.3</v>
      </c>
      <c r="K95" s="3">
        <f t="shared" si="84"/>
        <v>120.3</v>
      </c>
      <c r="L95" s="10"/>
      <c r="M95" s="9">
        <f>M97</f>
        <v>80</v>
      </c>
      <c r="N95" s="3">
        <f t="shared" si="86"/>
        <v>80</v>
      </c>
      <c r="O95" s="10"/>
      <c r="P95" s="9">
        <f>P97</f>
        <v>80</v>
      </c>
      <c r="Q95" s="3">
        <f t="shared" si="88"/>
        <v>80</v>
      </c>
      <c r="R95" s="10"/>
      <c r="S95" s="9">
        <f>S97</f>
        <v>80</v>
      </c>
      <c r="T95" s="3">
        <f t="shared" si="90"/>
        <v>80</v>
      </c>
      <c r="U95" s="10">
        <f t="shared" si="91"/>
        <v>360.3</v>
      </c>
      <c r="V95" s="11">
        <f t="shared" si="91"/>
        <v>360.3</v>
      </c>
      <c r="W95" s="207"/>
      <c r="X95" s="85"/>
      <c r="Y95" s="119"/>
      <c r="Z95" s="119"/>
    </row>
    <row r="96" spans="1:26" x14ac:dyDescent="0.2">
      <c r="A96" s="279"/>
      <c r="B96" s="127" t="s">
        <v>2</v>
      </c>
      <c r="C96" s="9"/>
      <c r="D96" s="9"/>
      <c r="E96" s="74"/>
      <c r="F96" s="10"/>
      <c r="G96" s="9"/>
      <c r="H96" s="3">
        <f t="shared" si="82"/>
        <v>0</v>
      </c>
      <c r="I96" s="10"/>
      <c r="J96" s="9"/>
      <c r="K96" s="3">
        <f t="shared" si="84"/>
        <v>0</v>
      </c>
      <c r="L96" s="10"/>
      <c r="M96" s="9"/>
      <c r="N96" s="3">
        <f t="shared" si="86"/>
        <v>0</v>
      </c>
      <c r="O96" s="10"/>
      <c r="P96" s="9"/>
      <c r="Q96" s="3">
        <f t="shared" si="88"/>
        <v>0</v>
      </c>
      <c r="R96" s="10"/>
      <c r="S96" s="9"/>
      <c r="T96" s="3">
        <f t="shared" si="90"/>
        <v>0</v>
      </c>
      <c r="U96" s="10">
        <f t="shared" si="91"/>
        <v>0</v>
      </c>
      <c r="V96" s="11">
        <f t="shared" si="91"/>
        <v>0</v>
      </c>
      <c r="W96" s="207"/>
      <c r="X96" s="85"/>
      <c r="Y96" s="119"/>
      <c r="Z96" s="119"/>
    </row>
    <row r="97" spans="1:26" ht="25.5" x14ac:dyDescent="0.2">
      <c r="A97" s="279"/>
      <c r="B97" s="130" t="s">
        <v>134</v>
      </c>
      <c r="C97" s="9"/>
      <c r="D97" s="9"/>
      <c r="E97" s="74"/>
      <c r="F97" s="10"/>
      <c r="G97" s="9"/>
      <c r="H97" s="3">
        <f t="shared" si="82"/>
        <v>0</v>
      </c>
      <c r="I97" s="10"/>
      <c r="J97" s="9">
        <v>120.3</v>
      </c>
      <c r="K97" s="3">
        <f t="shared" si="84"/>
        <v>120.3</v>
      </c>
      <c r="L97" s="10"/>
      <c r="M97" s="9">
        <v>80</v>
      </c>
      <c r="N97" s="3">
        <f t="shared" si="86"/>
        <v>80</v>
      </c>
      <c r="O97" s="10"/>
      <c r="P97" s="9">
        <v>80</v>
      </c>
      <c r="Q97" s="3">
        <f t="shared" si="88"/>
        <v>80</v>
      </c>
      <c r="R97" s="10"/>
      <c r="S97" s="9">
        <v>80</v>
      </c>
      <c r="T97" s="3">
        <f t="shared" si="90"/>
        <v>80</v>
      </c>
      <c r="U97" s="10">
        <f t="shared" si="91"/>
        <v>360.3</v>
      </c>
      <c r="V97" s="11">
        <f t="shared" si="91"/>
        <v>360.3</v>
      </c>
      <c r="W97" s="207"/>
      <c r="X97" s="85"/>
      <c r="Y97" s="119"/>
      <c r="Z97" s="119"/>
    </row>
    <row r="98" spans="1:26" x14ac:dyDescent="0.2">
      <c r="A98" s="279">
        <v>19</v>
      </c>
      <c r="B98" s="127" t="s">
        <v>97</v>
      </c>
      <c r="C98" s="1">
        <f>C100+C101</f>
        <v>7926.1935000000003</v>
      </c>
      <c r="D98" s="1">
        <f>D100+D101</f>
        <v>7899.9999999999991</v>
      </c>
      <c r="E98" s="93">
        <f t="shared" ref="E98" si="94">C98+D98</f>
        <v>15826.193499999999</v>
      </c>
      <c r="F98" s="2">
        <f t="shared" ref="F98:G98" si="95">F100+F101</f>
        <v>7212</v>
      </c>
      <c r="G98" s="1">
        <f t="shared" si="95"/>
        <v>10288</v>
      </c>
      <c r="H98" s="3">
        <f t="shared" si="82"/>
        <v>17500</v>
      </c>
      <c r="I98" s="2">
        <f t="shared" ref="I98:J98" si="96">I100+I101</f>
        <v>9593.0112000000008</v>
      </c>
      <c r="J98" s="1">
        <f t="shared" si="96"/>
        <v>10400.518700000001</v>
      </c>
      <c r="K98" s="3">
        <f t="shared" si="84"/>
        <v>19993.529900000001</v>
      </c>
      <c r="L98" s="2">
        <f t="shared" ref="L98:M98" si="97">L100+L101</f>
        <v>19510.215400000001</v>
      </c>
      <c r="M98" s="1">
        <f t="shared" si="97"/>
        <v>1000</v>
      </c>
      <c r="N98" s="3">
        <f t="shared" si="86"/>
        <v>20510.215400000001</v>
      </c>
      <c r="O98" s="2">
        <f t="shared" ref="O98:P98" si="98">O100+O101</f>
        <v>20016.665000000001</v>
      </c>
      <c r="P98" s="1">
        <f t="shared" si="98"/>
        <v>2000</v>
      </c>
      <c r="Q98" s="3">
        <f t="shared" si="88"/>
        <v>22016.665000000001</v>
      </c>
      <c r="R98" s="2">
        <f t="shared" ref="R98:S98" si="99">R100+R101</f>
        <v>20521.364799999999</v>
      </c>
      <c r="S98" s="1">
        <f t="shared" si="99"/>
        <v>2000</v>
      </c>
      <c r="T98" s="3">
        <f t="shared" si="90"/>
        <v>22521.364799999999</v>
      </c>
      <c r="U98" s="10">
        <f t="shared" si="91"/>
        <v>33588.518700000001</v>
      </c>
      <c r="V98" s="11">
        <f t="shared" si="91"/>
        <v>118367.96860000001</v>
      </c>
      <c r="W98" s="206"/>
      <c r="X98" s="23"/>
      <c r="Y98" s="23"/>
      <c r="Z98" s="23"/>
    </row>
    <row r="99" spans="1:26" x14ac:dyDescent="0.2">
      <c r="A99" s="279"/>
      <c r="B99" s="129" t="s">
        <v>2</v>
      </c>
      <c r="C99" s="9"/>
      <c r="D99" s="9"/>
      <c r="E99" s="74"/>
      <c r="F99" s="10"/>
      <c r="G99" s="9"/>
      <c r="H99" s="3">
        <f t="shared" si="82"/>
        <v>0</v>
      </c>
      <c r="I99" s="10"/>
      <c r="J99" s="9"/>
      <c r="K99" s="3">
        <f t="shared" si="84"/>
        <v>0</v>
      </c>
      <c r="L99" s="10"/>
      <c r="M99" s="9"/>
      <c r="N99" s="3">
        <f t="shared" si="86"/>
        <v>0</v>
      </c>
      <c r="O99" s="10"/>
      <c r="P99" s="9"/>
      <c r="Q99" s="3">
        <f t="shared" si="88"/>
        <v>0</v>
      </c>
      <c r="R99" s="10"/>
      <c r="S99" s="9"/>
      <c r="T99" s="3">
        <f t="shared" si="90"/>
        <v>0</v>
      </c>
      <c r="U99" s="10">
        <f t="shared" si="91"/>
        <v>0</v>
      </c>
      <c r="V99" s="11">
        <f t="shared" si="91"/>
        <v>0</v>
      </c>
      <c r="W99" s="207"/>
      <c r="X99" s="85"/>
      <c r="Y99" s="85"/>
      <c r="Z99" s="85"/>
    </row>
    <row r="100" spans="1:26" ht="25.5" x14ac:dyDescent="0.2">
      <c r="A100" s="279"/>
      <c r="B100" s="130" t="s">
        <v>139</v>
      </c>
      <c r="C100" s="9">
        <v>6000</v>
      </c>
      <c r="D100" s="9">
        <v>0</v>
      </c>
      <c r="E100" s="93">
        <f t="shared" ref="E100:E105" si="100">C100+D100</f>
        <v>6000</v>
      </c>
      <c r="F100" s="10">
        <v>5402</v>
      </c>
      <c r="G100" s="9">
        <v>1598</v>
      </c>
      <c r="H100" s="3">
        <f t="shared" si="82"/>
        <v>7000</v>
      </c>
      <c r="I100" s="10">
        <v>6513.8099000000002</v>
      </c>
      <c r="J100" s="9">
        <v>1486.2</v>
      </c>
      <c r="K100" s="3">
        <f t="shared" si="84"/>
        <v>8000.0099</v>
      </c>
      <c r="L100" s="10">
        <v>8000</v>
      </c>
      <c r="M100" s="9">
        <v>0</v>
      </c>
      <c r="N100" s="3">
        <f t="shared" si="86"/>
        <v>8000</v>
      </c>
      <c r="O100" s="10">
        <v>8000</v>
      </c>
      <c r="P100" s="9">
        <v>0</v>
      </c>
      <c r="Q100" s="3">
        <f t="shared" si="88"/>
        <v>8000</v>
      </c>
      <c r="R100" s="10">
        <v>8000</v>
      </c>
      <c r="S100" s="9">
        <v>0</v>
      </c>
      <c r="T100" s="3">
        <f t="shared" si="90"/>
        <v>8000</v>
      </c>
      <c r="U100" s="10">
        <f>SUM(D100,G100,J100,M100,P100,S100)</f>
        <v>3084.2</v>
      </c>
      <c r="V100" s="11">
        <f>SUM(E100,H100,K100,N100,Q100,T100)</f>
        <v>45000.009900000005</v>
      </c>
      <c r="W100" s="207"/>
      <c r="X100" s="85"/>
      <c r="Y100" s="85"/>
      <c r="Z100" s="85"/>
    </row>
    <row r="101" spans="1:26" ht="25.5" x14ac:dyDescent="0.2">
      <c r="A101" s="281">
        <v>20</v>
      </c>
      <c r="B101" s="130" t="s">
        <v>37</v>
      </c>
      <c r="C101" s="9">
        <v>1926.1935000000001</v>
      </c>
      <c r="D101" s="9">
        <v>7899.9999999999991</v>
      </c>
      <c r="E101" s="93">
        <f t="shared" si="100"/>
        <v>9826.1934999999994</v>
      </c>
      <c r="F101" s="10">
        <v>1810</v>
      </c>
      <c r="G101" s="9">
        <v>8690</v>
      </c>
      <c r="H101" s="3">
        <f t="shared" si="82"/>
        <v>10500</v>
      </c>
      <c r="I101" s="10">
        <v>3079.2013000000002</v>
      </c>
      <c r="J101" s="9">
        <v>8914.3186999999998</v>
      </c>
      <c r="K101" s="3">
        <f t="shared" si="84"/>
        <v>11993.52</v>
      </c>
      <c r="L101" s="10">
        <v>11510.215399999999</v>
      </c>
      <c r="M101" s="9">
        <v>1000</v>
      </c>
      <c r="N101" s="3">
        <f t="shared" si="86"/>
        <v>12510.215399999999</v>
      </c>
      <c r="O101" s="10">
        <v>12016.665000000001</v>
      </c>
      <c r="P101" s="9">
        <v>2000</v>
      </c>
      <c r="Q101" s="3">
        <f t="shared" si="88"/>
        <v>14016.665000000001</v>
      </c>
      <c r="R101" s="10">
        <v>12521.364799999999</v>
      </c>
      <c r="S101" s="9">
        <v>2000</v>
      </c>
      <c r="T101" s="3">
        <f t="shared" si="90"/>
        <v>14521.364799999999</v>
      </c>
      <c r="U101" s="10">
        <f t="shared" si="91"/>
        <v>30504.3187</v>
      </c>
      <c r="V101" s="11">
        <f t="shared" si="91"/>
        <v>73367.958700000003</v>
      </c>
      <c r="W101" s="207"/>
      <c r="X101" s="85"/>
      <c r="Y101" s="85"/>
      <c r="Z101" s="85"/>
    </row>
    <row r="102" spans="1:26" ht="25.5" x14ac:dyDescent="0.2">
      <c r="A102" s="282"/>
      <c r="B102" s="127" t="s">
        <v>143</v>
      </c>
      <c r="C102" s="1">
        <f>C104</f>
        <v>0</v>
      </c>
      <c r="D102" s="1">
        <f>D104</f>
        <v>500</v>
      </c>
      <c r="E102" s="93">
        <f t="shared" si="100"/>
        <v>500</v>
      </c>
      <c r="F102" s="2"/>
      <c r="G102" s="1">
        <f t="shared" ref="G102" si="101">G104</f>
        <v>500</v>
      </c>
      <c r="H102" s="3">
        <f t="shared" si="82"/>
        <v>500</v>
      </c>
      <c r="I102" s="2"/>
      <c r="J102" s="1">
        <f t="shared" ref="J102" si="102">J104</f>
        <v>500</v>
      </c>
      <c r="K102" s="3">
        <f t="shared" si="84"/>
        <v>500</v>
      </c>
      <c r="L102" s="2"/>
      <c r="M102" s="1">
        <f t="shared" ref="M102" si="103">M104</f>
        <v>500</v>
      </c>
      <c r="N102" s="3">
        <f t="shared" si="86"/>
        <v>500</v>
      </c>
      <c r="O102" s="2"/>
      <c r="P102" s="1">
        <f t="shared" ref="P102" si="104">P104</f>
        <v>500</v>
      </c>
      <c r="Q102" s="3">
        <f t="shared" si="88"/>
        <v>500</v>
      </c>
      <c r="R102" s="2"/>
      <c r="S102" s="1">
        <f t="shared" ref="S102" si="105">S104</f>
        <v>500</v>
      </c>
      <c r="T102" s="3">
        <f t="shared" si="90"/>
        <v>500</v>
      </c>
      <c r="U102" s="10">
        <f t="shared" si="91"/>
        <v>3000</v>
      </c>
      <c r="V102" s="11">
        <f t="shared" si="91"/>
        <v>3000</v>
      </c>
      <c r="W102" s="207"/>
      <c r="X102" s="85"/>
      <c r="Y102" s="85"/>
      <c r="Z102" s="85"/>
    </row>
    <row r="103" spans="1:26" x14ac:dyDescent="0.2">
      <c r="A103" s="282"/>
      <c r="B103" s="129" t="s">
        <v>2</v>
      </c>
      <c r="C103" s="9"/>
      <c r="D103" s="9"/>
      <c r="E103" s="74"/>
      <c r="F103" s="10"/>
      <c r="G103" s="9"/>
      <c r="H103" s="3">
        <f t="shared" si="82"/>
        <v>0</v>
      </c>
      <c r="I103" s="10"/>
      <c r="J103" s="9"/>
      <c r="K103" s="3">
        <f t="shared" si="84"/>
        <v>0</v>
      </c>
      <c r="L103" s="10"/>
      <c r="M103" s="9"/>
      <c r="N103" s="3">
        <f t="shared" si="86"/>
        <v>0</v>
      </c>
      <c r="O103" s="10"/>
      <c r="P103" s="9"/>
      <c r="Q103" s="3">
        <f t="shared" si="88"/>
        <v>0</v>
      </c>
      <c r="R103" s="10"/>
      <c r="S103" s="9"/>
      <c r="T103" s="3">
        <f t="shared" si="90"/>
        <v>0</v>
      </c>
      <c r="U103" s="10">
        <f t="shared" si="91"/>
        <v>0</v>
      </c>
      <c r="V103" s="11">
        <f t="shared" si="91"/>
        <v>0</v>
      </c>
      <c r="W103" s="207"/>
      <c r="X103" s="85"/>
      <c r="Y103" s="85"/>
      <c r="Z103" s="85"/>
    </row>
    <row r="104" spans="1:26" ht="24" customHeight="1" x14ac:dyDescent="0.2">
      <c r="A104" s="282"/>
      <c r="B104" s="130" t="s">
        <v>144</v>
      </c>
      <c r="C104" s="9"/>
      <c r="D104" s="9">
        <v>500</v>
      </c>
      <c r="E104" s="93">
        <f t="shared" si="100"/>
        <v>500</v>
      </c>
      <c r="F104" s="10"/>
      <c r="G104" s="9">
        <v>500</v>
      </c>
      <c r="H104" s="3">
        <f t="shared" si="82"/>
        <v>500</v>
      </c>
      <c r="I104" s="10"/>
      <c r="J104" s="9">
        <v>500</v>
      </c>
      <c r="K104" s="3">
        <f t="shared" si="84"/>
        <v>500</v>
      </c>
      <c r="L104" s="10"/>
      <c r="M104" s="9">
        <v>500</v>
      </c>
      <c r="N104" s="3">
        <f t="shared" si="86"/>
        <v>500</v>
      </c>
      <c r="O104" s="10"/>
      <c r="P104" s="9">
        <v>500</v>
      </c>
      <c r="Q104" s="3">
        <f t="shared" si="88"/>
        <v>500</v>
      </c>
      <c r="R104" s="10"/>
      <c r="S104" s="9">
        <v>500</v>
      </c>
      <c r="T104" s="3">
        <f t="shared" si="90"/>
        <v>500</v>
      </c>
      <c r="U104" s="10">
        <f t="shared" si="91"/>
        <v>3000</v>
      </c>
      <c r="V104" s="11">
        <f t="shared" si="91"/>
        <v>3000</v>
      </c>
      <c r="W104" s="207"/>
      <c r="X104" s="23"/>
      <c r="Y104" s="23"/>
      <c r="Z104" s="23"/>
    </row>
    <row r="105" spans="1:26" ht="25.5" x14ac:dyDescent="0.2">
      <c r="A105" s="282">
        <v>21</v>
      </c>
      <c r="B105" s="127" t="s">
        <v>99</v>
      </c>
      <c r="C105" s="1">
        <f>C108+C107</f>
        <v>10923.91</v>
      </c>
      <c r="D105" s="1">
        <f>D108+D107</f>
        <v>3300</v>
      </c>
      <c r="E105" s="93">
        <f t="shared" si="100"/>
        <v>14223.91</v>
      </c>
      <c r="F105" s="2">
        <f t="shared" ref="F105" si="106">F108+F107</f>
        <v>11388.25</v>
      </c>
      <c r="G105" s="1">
        <f>G108+G107</f>
        <v>5428.6</v>
      </c>
      <c r="H105" s="3">
        <f t="shared" si="82"/>
        <v>16816.849999999999</v>
      </c>
      <c r="I105" s="2">
        <f t="shared" ref="I105:J105" si="107">I108+I107</f>
        <v>12028.9905</v>
      </c>
      <c r="J105" s="1">
        <f t="shared" si="107"/>
        <v>10132.299999999999</v>
      </c>
      <c r="K105" s="3">
        <f t="shared" si="84"/>
        <v>22161.290499999999</v>
      </c>
      <c r="L105" s="2">
        <f t="shared" ref="L105:M105" si="108">L108+L107</f>
        <v>12535.3</v>
      </c>
      <c r="M105" s="1">
        <f t="shared" si="108"/>
        <v>12300</v>
      </c>
      <c r="N105" s="3">
        <f t="shared" si="86"/>
        <v>24835.3</v>
      </c>
      <c r="O105" s="2">
        <f t="shared" ref="O105:P105" si="109">O108+O107</f>
        <v>13043.770700000001</v>
      </c>
      <c r="P105" s="1">
        <f t="shared" si="109"/>
        <v>14192.9</v>
      </c>
      <c r="Q105" s="3">
        <f t="shared" si="88"/>
        <v>27236.670700000002</v>
      </c>
      <c r="R105" s="2">
        <f t="shared" ref="R105:S105" si="110">R108+R107</f>
        <v>13635.949049999999</v>
      </c>
      <c r="S105" s="1">
        <f t="shared" si="110"/>
        <v>15589</v>
      </c>
      <c r="T105" s="3">
        <f t="shared" si="90"/>
        <v>29224.949049999999</v>
      </c>
      <c r="U105" s="10">
        <f t="shared" si="91"/>
        <v>60942.8</v>
      </c>
      <c r="V105" s="11">
        <f t="shared" si="91"/>
        <v>134498.97025000001</v>
      </c>
      <c r="W105" s="206"/>
      <c r="X105" s="85"/>
      <c r="Y105" s="85"/>
      <c r="Z105" s="85"/>
    </row>
    <row r="106" spans="1:26" ht="15" customHeight="1" x14ac:dyDescent="0.2">
      <c r="A106" s="282"/>
      <c r="B106" s="129" t="s">
        <v>2</v>
      </c>
      <c r="C106" s="9"/>
      <c r="D106" s="9"/>
      <c r="E106" s="74">
        <f>C106+D106</f>
        <v>0</v>
      </c>
      <c r="F106" s="10"/>
      <c r="G106" s="9"/>
      <c r="H106" s="3">
        <f t="shared" si="82"/>
        <v>0</v>
      </c>
      <c r="I106" s="10"/>
      <c r="J106" s="9"/>
      <c r="K106" s="3">
        <f t="shared" si="84"/>
        <v>0</v>
      </c>
      <c r="L106" s="10"/>
      <c r="M106" s="9"/>
      <c r="N106" s="3">
        <f t="shared" si="86"/>
        <v>0</v>
      </c>
      <c r="O106" s="10"/>
      <c r="P106" s="9"/>
      <c r="Q106" s="3">
        <f t="shared" si="88"/>
        <v>0</v>
      </c>
      <c r="R106" s="10"/>
      <c r="S106" s="9"/>
      <c r="T106" s="3">
        <f t="shared" si="90"/>
        <v>0</v>
      </c>
      <c r="U106" s="10">
        <f t="shared" si="91"/>
        <v>0</v>
      </c>
      <c r="V106" s="11">
        <f t="shared" si="91"/>
        <v>0</v>
      </c>
      <c r="W106" s="207"/>
      <c r="X106" s="85"/>
      <c r="Y106" s="85"/>
      <c r="Z106" s="85"/>
    </row>
    <row r="107" spans="1:26" ht="29.25" customHeight="1" x14ac:dyDescent="0.2">
      <c r="A107" s="282"/>
      <c r="B107" s="130" t="s">
        <v>38</v>
      </c>
      <c r="C107" s="9">
        <v>1433.91</v>
      </c>
      <c r="D107" s="9">
        <v>1000</v>
      </c>
      <c r="E107" s="93">
        <f t="shared" ref="E107:E108" si="111">C107+D107</f>
        <v>2433.91</v>
      </c>
      <c r="F107" s="10">
        <v>1405.25</v>
      </c>
      <c r="G107" s="9">
        <v>1028.5999999999999</v>
      </c>
      <c r="H107" s="3">
        <f t="shared" si="82"/>
        <v>2433.85</v>
      </c>
      <c r="I107" s="10">
        <v>1626.9905000000001</v>
      </c>
      <c r="J107" s="9">
        <v>1032.3</v>
      </c>
      <c r="K107" s="3">
        <f t="shared" si="84"/>
        <v>2659.2905000000001</v>
      </c>
      <c r="L107" s="10">
        <v>1737.3</v>
      </c>
      <c r="M107" s="9">
        <v>1000</v>
      </c>
      <c r="N107" s="3">
        <f t="shared" si="86"/>
        <v>2737.3</v>
      </c>
      <c r="O107" s="10">
        <v>1813.7707</v>
      </c>
      <c r="P107" s="9">
        <v>992.9</v>
      </c>
      <c r="Q107" s="3">
        <f t="shared" si="88"/>
        <v>2806.6707000000001</v>
      </c>
      <c r="R107" s="10">
        <v>1889.9490499999999</v>
      </c>
      <c r="S107" s="9">
        <v>989</v>
      </c>
      <c r="T107" s="3">
        <f t="shared" si="90"/>
        <v>2878.9490500000002</v>
      </c>
      <c r="U107" s="10">
        <f>SUM(D107,G107,J107,M107,P107,S107)</f>
        <v>6042.7999999999993</v>
      </c>
      <c r="V107" s="11">
        <f t="shared" si="91"/>
        <v>15949.970250000002</v>
      </c>
      <c r="W107" s="207"/>
      <c r="X107" s="85"/>
      <c r="Y107" s="85"/>
      <c r="Z107" s="85"/>
    </row>
    <row r="108" spans="1:26" ht="26.25" thickBot="1" x14ac:dyDescent="0.25">
      <c r="A108" s="289"/>
      <c r="B108" s="239" t="s">
        <v>77</v>
      </c>
      <c r="C108" s="58">
        <v>9490</v>
      </c>
      <c r="D108" s="240">
        <v>2300</v>
      </c>
      <c r="E108" s="146">
        <f t="shared" si="111"/>
        <v>11790</v>
      </c>
      <c r="F108" s="60">
        <v>9983</v>
      </c>
      <c r="G108" s="58">
        <v>4400</v>
      </c>
      <c r="H108" s="117">
        <f t="shared" si="82"/>
        <v>14383</v>
      </c>
      <c r="I108" s="60">
        <v>10402</v>
      </c>
      <c r="J108" s="58">
        <v>9100</v>
      </c>
      <c r="K108" s="117">
        <f t="shared" si="84"/>
        <v>19502</v>
      </c>
      <c r="L108" s="60">
        <v>10798</v>
      </c>
      <c r="M108" s="58">
        <v>11300</v>
      </c>
      <c r="N108" s="117">
        <f t="shared" si="86"/>
        <v>22098</v>
      </c>
      <c r="O108" s="60">
        <v>11230</v>
      </c>
      <c r="P108" s="58">
        <v>13200</v>
      </c>
      <c r="Q108" s="117">
        <f t="shared" si="88"/>
        <v>24430</v>
      </c>
      <c r="R108" s="60">
        <v>11746</v>
      </c>
      <c r="S108" s="58">
        <v>14600</v>
      </c>
      <c r="T108" s="117">
        <f t="shared" si="90"/>
        <v>26346</v>
      </c>
      <c r="U108" s="60">
        <f t="shared" si="91"/>
        <v>54900</v>
      </c>
      <c r="V108" s="59">
        <f t="shared" si="91"/>
        <v>118549</v>
      </c>
      <c r="W108" s="208"/>
      <c r="X108" s="85" t="s">
        <v>149</v>
      </c>
      <c r="Y108" s="85"/>
      <c r="Z108" s="85"/>
    </row>
    <row r="109" spans="1:26" ht="18" customHeight="1" thickBot="1" x14ac:dyDescent="0.25">
      <c r="A109" s="259" t="s">
        <v>39</v>
      </c>
      <c r="B109" s="260"/>
      <c r="C109" s="260"/>
      <c r="D109" s="260"/>
      <c r="E109" s="260"/>
      <c r="F109" s="260"/>
      <c r="G109" s="260"/>
      <c r="H109" s="260"/>
      <c r="I109" s="260"/>
      <c r="J109" s="260"/>
      <c r="K109" s="260"/>
      <c r="L109" s="260"/>
      <c r="M109" s="260"/>
      <c r="N109" s="260"/>
      <c r="O109" s="260"/>
      <c r="P109" s="260"/>
      <c r="Q109" s="260"/>
      <c r="R109" s="260"/>
      <c r="S109" s="260"/>
      <c r="T109" s="260"/>
      <c r="U109" s="260"/>
      <c r="V109" s="260"/>
      <c r="W109" s="261"/>
      <c r="X109" s="119"/>
      <c r="Y109" s="119"/>
      <c r="Z109" s="119"/>
    </row>
    <row r="110" spans="1:26" ht="13.5" thickBot="1" x14ac:dyDescent="0.25">
      <c r="A110" s="290"/>
      <c r="B110" s="49" t="s">
        <v>88</v>
      </c>
      <c r="C110" s="50">
        <f>SUM(C112,C115,C118,C119)</f>
        <v>6948.9066999999995</v>
      </c>
      <c r="D110" s="51">
        <f>SUM(D112,D115,D118,D119)</f>
        <v>2006.82</v>
      </c>
      <c r="E110" s="52">
        <f>C110+D110</f>
        <v>8955.7266999999993</v>
      </c>
      <c r="F110" s="51">
        <f t="shared" ref="F110:G110" si="112">SUM(F112,F115,F118,F119)</f>
        <v>6809.9285999999993</v>
      </c>
      <c r="G110" s="51">
        <f t="shared" si="112"/>
        <v>2538.0781000000002</v>
      </c>
      <c r="H110" s="52">
        <f t="shared" ref="H110:H119" si="113">F110+G110</f>
        <v>9348.0066999999999</v>
      </c>
      <c r="I110" s="51">
        <f t="shared" ref="I110:L110" si="114">SUM(I112,I115,I118,I119)</f>
        <v>7765.0183999999999</v>
      </c>
      <c r="J110" s="51">
        <f t="shared" si="114"/>
        <v>3022.4789000000001</v>
      </c>
      <c r="K110" s="52">
        <f t="shared" ref="K110:K119" si="115">I110+J110</f>
        <v>10787.497299999999</v>
      </c>
      <c r="L110" s="51">
        <f t="shared" si="114"/>
        <v>8263.0411000000004</v>
      </c>
      <c r="M110" s="51">
        <f t="shared" ref="M110" si="116">SUM(M112,M115,M118,M119)</f>
        <v>3386.73</v>
      </c>
      <c r="N110" s="52">
        <f>L110+M110</f>
        <v>11649.7711</v>
      </c>
      <c r="O110" s="51">
        <f t="shared" ref="O110:P110" si="117">SUM(O112,O115,O118,O119)</f>
        <v>8630.4876999999997</v>
      </c>
      <c r="P110" s="51">
        <f t="shared" si="117"/>
        <v>3936.07</v>
      </c>
      <c r="Q110" s="53">
        <f>O110+P110</f>
        <v>12566.557699999999</v>
      </c>
      <c r="R110" s="51">
        <f t="shared" ref="R110:S110" si="118">SUM(R112,R115,R118,R119)</f>
        <v>9045.1732000000011</v>
      </c>
      <c r="S110" s="51">
        <f t="shared" si="118"/>
        <v>4561.3999999999996</v>
      </c>
      <c r="T110" s="52">
        <f>R110+S110</f>
        <v>13606.573200000001</v>
      </c>
      <c r="U110" s="54">
        <f t="shared" ref="U110:V118" si="119">D110+G110+J110+M110+P110+S110</f>
        <v>19451.576999999997</v>
      </c>
      <c r="V110" s="79">
        <f t="shared" si="119"/>
        <v>66914.132700000002</v>
      </c>
      <c r="W110" s="139"/>
      <c r="X110" s="16">
        <f>V112+V115+V118+V119</f>
        <v>66914.132700000002</v>
      </c>
      <c r="Y110" s="16"/>
      <c r="Z110" s="16"/>
    </row>
    <row r="111" spans="1:26" hidden="1" x14ac:dyDescent="0.2">
      <c r="A111" s="283"/>
      <c r="B111" s="47"/>
      <c r="C111" s="13"/>
      <c r="D111" s="14"/>
      <c r="E111" s="29"/>
      <c r="F111" s="14"/>
      <c r="G111" s="14"/>
      <c r="H111" s="29"/>
      <c r="I111" s="14"/>
      <c r="J111" s="14"/>
      <c r="K111" s="29"/>
      <c r="L111" s="28"/>
      <c r="M111" s="14"/>
      <c r="N111" s="29"/>
      <c r="O111" s="13"/>
      <c r="P111" s="14"/>
      <c r="Q111" s="15"/>
      <c r="R111" s="28"/>
      <c r="S111" s="14"/>
      <c r="T111" s="29"/>
      <c r="U111" s="42"/>
      <c r="V111" s="43"/>
      <c r="W111" s="209"/>
      <c r="X111" s="16">
        <f>D110+G110+J110+M110+P110+S110</f>
        <v>19451.576999999997</v>
      </c>
      <c r="Y111" s="16"/>
      <c r="Z111" s="16"/>
    </row>
    <row r="112" spans="1:26" hidden="1" x14ac:dyDescent="0.2">
      <c r="A112" s="254"/>
      <c r="B112" s="127"/>
      <c r="C112" s="45"/>
      <c r="D112" s="1"/>
      <c r="E112" s="3"/>
      <c r="F112" s="1"/>
      <c r="G112" s="1"/>
      <c r="H112" s="3"/>
      <c r="I112" s="1"/>
      <c r="J112" s="1"/>
      <c r="K112" s="3"/>
      <c r="L112" s="2"/>
      <c r="M112" s="1"/>
      <c r="N112" s="3"/>
      <c r="O112" s="2"/>
      <c r="P112" s="1"/>
      <c r="Q112" s="3"/>
      <c r="R112" s="2"/>
      <c r="S112" s="1"/>
      <c r="T112" s="3"/>
      <c r="U112" s="10"/>
      <c r="V112" s="11"/>
      <c r="W112" s="140"/>
      <c r="X112" s="119"/>
      <c r="Y112" s="119"/>
      <c r="Z112" s="119"/>
    </row>
    <row r="113" spans="1:26" hidden="1" x14ac:dyDescent="0.2">
      <c r="A113" s="254"/>
      <c r="B113" s="129"/>
      <c r="C113" s="92"/>
      <c r="D113" s="9"/>
      <c r="E113" s="11"/>
      <c r="F113" s="9"/>
      <c r="G113" s="9"/>
      <c r="H113" s="11"/>
      <c r="I113" s="9"/>
      <c r="J113" s="9"/>
      <c r="K113" s="11"/>
      <c r="L113" s="10"/>
      <c r="M113" s="9"/>
      <c r="N113" s="11"/>
      <c r="O113" s="10"/>
      <c r="P113" s="9"/>
      <c r="Q113" s="11"/>
      <c r="R113" s="10"/>
      <c r="S113" s="9"/>
      <c r="T113" s="11"/>
      <c r="U113" s="10"/>
      <c r="V113" s="11"/>
      <c r="W113" s="128"/>
      <c r="X113" s="119"/>
      <c r="Y113" s="119"/>
      <c r="Z113" s="119"/>
    </row>
    <row r="114" spans="1:26" hidden="1" x14ac:dyDescent="0.2">
      <c r="A114" s="254"/>
      <c r="B114" s="130"/>
      <c r="C114" s="92"/>
      <c r="D114" s="9"/>
      <c r="E114" s="11"/>
      <c r="F114" s="9"/>
      <c r="G114" s="9"/>
      <c r="H114" s="11"/>
      <c r="I114" s="9"/>
      <c r="J114" s="9"/>
      <c r="K114" s="11"/>
      <c r="L114" s="10"/>
      <c r="M114" s="9"/>
      <c r="N114" s="11"/>
      <c r="O114" s="10"/>
      <c r="P114" s="9"/>
      <c r="Q114" s="11"/>
      <c r="R114" s="10"/>
      <c r="S114" s="9"/>
      <c r="T114" s="11"/>
      <c r="U114" s="10"/>
      <c r="V114" s="11"/>
      <c r="W114" s="128"/>
      <c r="X114" s="119"/>
      <c r="Y114" s="119"/>
      <c r="Z114" s="119"/>
    </row>
    <row r="115" spans="1:26" x14ac:dyDescent="0.2">
      <c r="A115" s="254">
        <v>22</v>
      </c>
      <c r="B115" s="127" t="s">
        <v>40</v>
      </c>
      <c r="C115" s="92">
        <f>C117</f>
        <v>0</v>
      </c>
      <c r="D115" s="9">
        <f>D117</f>
        <v>396.81999999999994</v>
      </c>
      <c r="E115" s="11">
        <f t="shared" ref="E115:E119" si="120">C115+D115</f>
        <v>396.81999999999994</v>
      </c>
      <c r="F115" s="9">
        <f t="shared" ref="F115:G115" si="121">F117</f>
        <v>0</v>
      </c>
      <c r="G115" s="9">
        <f t="shared" si="121"/>
        <v>1082.0999999999999</v>
      </c>
      <c r="H115" s="11">
        <f t="shared" si="113"/>
        <v>1082.0999999999999</v>
      </c>
      <c r="I115" s="9">
        <f t="shared" ref="I115:J115" si="122">I117</f>
        <v>0</v>
      </c>
      <c r="J115" s="9">
        <f t="shared" si="122"/>
        <v>1369.0900000000001</v>
      </c>
      <c r="K115" s="11">
        <f t="shared" si="115"/>
        <v>1369.0900000000001</v>
      </c>
      <c r="L115" s="10">
        <f t="shared" ref="L115:M115" si="123">L117</f>
        <v>0</v>
      </c>
      <c r="M115" s="9">
        <f t="shared" si="123"/>
        <v>1753.13</v>
      </c>
      <c r="N115" s="11">
        <f t="shared" ref="N115:N119" si="124">L115+M115</f>
        <v>1753.13</v>
      </c>
      <c r="O115" s="92">
        <f t="shared" ref="O115:P115" si="125">O117</f>
        <v>0</v>
      </c>
      <c r="P115" s="9">
        <f t="shared" si="125"/>
        <v>2207.67</v>
      </c>
      <c r="Q115" s="74">
        <f t="shared" ref="Q115:Q119" si="126">O115+P115</f>
        <v>2207.67</v>
      </c>
      <c r="R115" s="10">
        <f t="shared" ref="R115:S115" si="127">R117</f>
        <v>0</v>
      </c>
      <c r="S115" s="9">
        <f t="shared" si="127"/>
        <v>2390.5999999999995</v>
      </c>
      <c r="T115" s="11">
        <f t="shared" ref="T115:T119" si="128">R115+S115</f>
        <v>2390.5999999999995</v>
      </c>
      <c r="U115" s="10">
        <f t="shared" si="119"/>
        <v>9199.41</v>
      </c>
      <c r="V115" s="11">
        <f t="shared" si="119"/>
        <v>9199.41</v>
      </c>
      <c r="W115" s="128"/>
      <c r="X115" s="19"/>
      <c r="Y115" s="30"/>
      <c r="Z115" s="30"/>
    </row>
    <row r="116" spans="1:26" x14ac:dyDescent="0.2">
      <c r="A116" s="254"/>
      <c r="B116" s="129" t="s">
        <v>2</v>
      </c>
      <c r="C116" s="92"/>
      <c r="D116" s="9"/>
      <c r="E116" s="11">
        <f t="shared" si="120"/>
        <v>0</v>
      </c>
      <c r="F116" s="9"/>
      <c r="G116" s="9"/>
      <c r="H116" s="11">
        <f t="shared" si="113"/>
        <v>0</v>
      </c>
      <c r="I116" s="9"/>
      <c r="J116" s="9"/>
      <c r="K116" s="11">
        <f t="shared" si="115"/>
        <v>0</v>
      </c>
      <c r="L116" s="10"/>
      <c r="M116" s="9"/>
      <c r="N116" s="11">
        <f t="shared" si="124"/>
        <v>0</v>
      </c>
      <c r="O116" s="92"/>
      <c r="P116" s="9"/>
      <c r="Q116" s="74">
        <f t="shared" si="126"/>
        <v>0</v>
      </c>
      <c r="R116" s="10"/>
      <c r="S116" s="9"/>
      <c r="T116" s="11">
        <f t="shared" si="128"/>
        <v>0</v>
      </c>
      <c r="U116" s="10">
        <f t="shared" si="119"/>
        <v>0</v>
      </c>
      <c r="V116" s="11">
        <f t="shared" si="119"/>
        <v>0</v>
      </c>
      <c r="W116" s="128"/>
      <c r="X116" s="19"/>
      <c r="Y116" s="30"/>
      <c r="Z116" s="30"/>
    </row>
    <row r="117" spans="1:26" x14ac:dyDescent="0.2">
      <c r="A117" s="254"/>
      <c r="B117" s="130" t="s">
        <v>155</v>
      </c>
      <c r="C117" s="92"/>
      <c r="D117" s="9">
        <v>396.81999999999994</v>
      </c>
      <c r="E117" s="11">
        <f t="shared" si="120"/>
        <v>396.81999999999994</v>
      </c>
      <c r="F117" s="9"/>
      <c r="G117" s="9">
        <v>1082.0999999999999</v>
      </c>
      <c r="H117" s="11">
        <f t="shared" si="113"/>
        <v>1082.0999999999999</v>
      </c>
      <c r="I117" s="9"/>
      <c r="J117" s="9">
        <v>1369.0900000000001</v>
      </c>
      <c r="K117" s="11">
        <f t="shared" si="115"/>
        <v>1369.0900000000001</v>
      </c>
      <c r="L117" s="10"/>
      <c r="M117" s="9">
        <v>1753.13</v>
      </c>
      <c r="N117" s="11">
        <f t="shared" si="124"/>
        <v>1753.13</v>
      </c>
      <c r="O117" s="92"/>
      <c r="P117" s="9">
        <v>2207.67</v>
      </c>
      <c r="Q117" s="74">
        <f t="shared" si="126"/>
        <v>2207.67</v>
      </c>
      <c r="R117" s="10"/>
      <c r="S117" s="9">
        <v>2390.5999999999995</v>
      </c>
      <c r="T117" s="11">
        <f t="shared" si="128"/>
        <v>2390.5999999999995</v>
      </c>
      <c r="U117" s="10">
        <f t="shared" si="119"/>
        <v>9199.41</v>
      </c>
      <c r="V117" s="11">
        <f t="shared" si="119"/>
        <v>9199.41</v>
      </c>
      <c r="W117" s="128"/>
      <c r="X117" s="19"/>
      <c r="Y117" s="30"/>
      <c r="Z117" s="30"/>
    </row>
    <row r="118" spans="1:26" ht="25.5" x14ac:dyDescent="0.2">
      <c r="A118" s="84">
        <v>23</v>
      </c>
      <c r="B118" s="246" t="s">
        <v>176</v>
      </c>
      <c r="C118" s="45">
        <v>2375</v>
      </c>
      <c r="D118" s="1">
        <v>1610</v>
      </c>
      <c r="E118" s="3">
        <f t="shared" si="120"/>
        <v>3985</v>
      </c>
      <c r="F118" s="2">
        <v>2327.5</v>
      </c>
      <c r="G118" s="1">
        <f>1317+47.5</f>
        <v>1364.5</v>
      </c>
      <c r="H118" s="3">
        <f t="shared" si="113"/>
        <v>3692</v>
      </c>
      <c r="I118" s="1">
        <v>2694.8002999999999</v>
      </c>
      <c r="J118" s="1">
        <f>1499+53.5797000000002</f>
        <v>1552.5797000000002</v>
      </c>
      <c r="K118" s="3">
        <f t="shared" si="115"/>
        <v>4247.38</v>
      </c>
      <c r="L118" s="2">
        <v>2877.6</v>
      </c>
      <c r="M118" s="1">
        <v>1633.6</v>
      </c>
      <c r="N118" s="3">
        <f t="shared" si="124"/>
        <v>4511.2</v>
      </c>
      <c r="O118" s="45">
        <v>3004.2</v>
      </c>
      <c r="P118" s="1">
        <v>1728.4</v>
      </c>
      <c r="Q118" s="93">
        <f t="shared" si="126"/>
        <v>4732.6000000000004</v>
      </c>
      <c r="R118" s="2">
        <v>3130.3</v>
      </c>
      <c r="S118" s="1">
        <v>2170.8000000000002</v>
      </c>
      <c r="T118" s="3">
        <f t="shared" si="128"/>
        <v>5301.1</v>
      </c>
      <c r="U118" s="10">
        <f t="shared" si="119"/>
        <v>10059.879700000001</v>
      </c>
      <c r="V118" s="11">
        <f t="shared" si="119"/>
        <v>26469.279999999999</v>
      </c>
      <c r="W118" s="128"/>
      <c r="X118" s="19"/>
      <c r="Y118" s="30"/>
      <c r="Z118" s="30"/>
    </row>
    <row r="119" spans="1:26" ht="28.5" customHeight="1" thickBot="1" x14ac:dyDescent="0.25">
      <c r="A119" s="141">
        <v>24</v>
      </c>
      <c r="B119" s="142" t="s">
        <v>146</v>
      </c>
      <c r="C119" s="143">
        <v>4573.9066999999995</v>
      </c>
      <c r="D119" s="144"/>
      <c r="E119" s="117">
        <f t="shared" si="120"/>
        <v>4573.9066999999995</v>
      </c>
      <c r="F119" s="144">
        <v>4482.4285999999993</v>
      </c>
      <c r="G119" s="144">
        <v>91.478100000000268</v>
      </c>
      <c r="H119" s="117">
        <f t="shared" si="113"/>
        <v>4573.9066999999995</v>
      </c>
      <c r="I119" s="144">
        <v>5070.2181</v>
      </c>
      <c r="J119" s="144">
        <v>100.80919999999969</v>
      </c>
      <c r="K119" s="117">
        <f t="shared" si="115"/>
        <v>5171.0272999999997</v>
      </c>
      <c r="L119" s="145">
        <v>5385.4411</v>
      </c>
      <c r="M119" s="144"/>
      <c r="N119" s="117">
        <f t="shared" si="124"/>
        <v>5385.4411</v>
      </c>
      <c r="O119" s="143">
        <v>5626.2876999999999</v>
      </c>
      <c r="P119" s="144"/>
      <c r="Q119" s="146">
        <f t="shared" si="126"/>
        <v>5626.2876999999999</v>
      </c>
      <c r="R119" s="145">
        <v>5914.8732</v>
      </c>
      <c r="S119" s="144"/>
      <c r="T119" s="117">
        <f t="shared" si="128"/>
        <v>5914.8732</v>
      </c>
      <c r="U119" s="60">
        <f>D119+G119+J119+M119+P119+S119</f>
        <v>192.28729999999996</v>
      </c>
      <c r="V119" s="59">
        <f>E119+H119+K119+N119+Q119+T119</f>
        <v>31245.4427</v>
      </c>
      <c r="W119" s="138"/>
      <c r="X119" s="19"/>
      <c r="Y119" s="30"/>
      <c r="Z119" s="30"/>
    </row>
    <row r="120" spans="1:26" ht="19.5" customHeight="1" thickBot="1" x14ac:dyDescent="0.25">
      <c r="A120" s="274" t="s">
        <v>172</v>
      </c>
      <c r="B120" s="275"/>
      <c r="C120" s="275"/>
      <c r="D120" s="275"/>
      <c r="E120" s="275"/>
      <c r="F120" s="275"/>
      <c r="G120" s="275"/>
      <c r="H120" s="275"/>
      <c r="I120" s="275"/>
      <c r="J120" s="275"/>
      <c r="K120" s="275"/>
      <c r="L120" s="275"/>
      <c r="M120" s="275"/>
      <c r="N120" s="275"/>
      <c r="O120" s="275"/>
      <c r="P120" s="275"/>
      <c r="Q120" s="275"/>
      <c r="R120" s="275"/>
      <c r="S120" s="275"/>
      <c r="T120" s="275"/>
      <c r="U120" s="275"/>
      <c r="V120" s="275"/>
      <c r="W120" s="276"/>
      <c r="X120" s="119"/>
      <c r="Y120" s="119"/>
      <c r="Z120" s="119"/>
    </row>
    <row r="121" spans="1:26" ht="13.5" thickBot="1" x14ac:dyDescent="0.25">
      <c r="A121" s="156"/>
      <c r="B121" s="49" t="s">
        <v>88</v>
      </c>
      <c r="C121" s="50">
        <f>C122+C125+C126+C129+C132+C135</f>
        <v>6190.25</v>
      </c>
      <c r="D121" s="51">
        <f>D122+D125+D126+D129+D132+D135</f>
        <v>4309.3</v>
      </c>
      <c r="E121" s="52">
        <f t="shared" ref="E121:E132" si="129">C121+D121</f>
        <v>10499.55</v>
      </c>
      <c r="F121" s="50">
        <f>F122+F125+F126+F129+F132+F135</f>
        <v>5780.8630000000003</v>
      </c>
      <c r="G121" s="51">
        <f>G122+G125+G126+G129+G132+G135</f>
        <v>6925.8089999999993</v>
      </c>
      <c r="H121" s="52">
        <f t="shared" ref="H121" si="130">F121+G121</f>
        <v>12706.671999999999</v>
      </c>
      <c r="I121" s="50">
        <f>I122+I125+I126+I129+I132+I135</f>
        <v>6336.1184000000003</v>
      </c>
      <c r="J121" s="51">
        <f>J122+J125+J126+J129+J132+J135</f>
        <v>7853.2571000000007</v>
      </c>
      <c r="K121" s="52">
        <f t="shared" ref="K121" si="131">I121+J121</f>
        <v>14189.375500000002</v>
      </c>
      <c r="L121" s="50">
        <f>L122+L125+L126+L129+L132+L135</f>
        <v>6694.3413</v>
      </c>
      <c r="M121" s="51">
        <f>M122+M125+M126+M129+M132+M135</f>
        <v>7517.6</v>
      </c>
      <c r="N121" s="52">
        <f t="shared" ref="N121" si="132">L121+M121</f>
        <v>14211.9413</v>
      </c>
      <c r="O121" s="50">
        <f>O122+O125+O126+O129+O132+O135</f>
        <v>6988.8922000000002</v>
      </c>
      <c r="P121" s="51">
        <f>P122+P125+P126+P129+P132+P135</f>
        <v>7447.6</v>
      </c>
      <c r="Q121" s="52">
        <f t="shared" ref="Q121" si="133">O121+P121</f>
        <v>14436.492200000001</v>
      </c>
      <c r="R121" s="50">
        <f>R122+R125+R126+R129+R132+R135</f>
        <v>7282.4258</v>
      </c>
      <c r="S121" s="51">
        <f>S122+S125+S126+S129+S132+S135</f>
        <v>7317.6</v>
      </c>
      <c r="T121" s="52">
        <f t="shared" ref="T121" si="134">R121+S121</f>
        <v>14600.025799999999</v>
      </c>
      <c r="U121" s="54">
        <f>D121+G121+J121+M121+P121+S121</f>
        <v>41371.166099999995</v>
      </c>
      <c r="V121" s="81">
        <f>E121+H121+K121+N121+Q121+T121</f>
        <v>80644.056800000006</v>
      </c>
      <c r="W121" s="153"/>
      <c r="X121" s="119"/>
      <c r="Y121" s="119"/>
      <c r="Z121" s="119"/>
    </row>
    <row r="122" spans="1:26" ht="25.5" x14ac:dyDescent="0.2">
      <c r="A122" s="281">
        <v>25</v>
      </c>
      <c r="B122" s="68" t="s">
        <v>1</v>
      </c>
      <c r="C122" s="69">
        <f>C124</f>
        <v>1587.5</v>
      </c>
      <c r="D122" s="70">
        <f t="shared" ref="D122" si="135">D124</f>
        <v>0</v>
      </c>
      <c r="E122" s="71">
        <f>C122+D122</f>
        <v>1587.5</v>
      </c>
      <c r="F122" s="70">
        <f t="shared" ref="F122:G122" si="136">F124</f>
        <v>1555.701</v>
      </c>
      <c r="G122" s="70">
        <f t="shared" si="136"/>
        <v>31.749000000000024</v>
      </c>
      <c r="H122" s="71">
        <f>F122+G122</f>
        <v>1587.45</v>
      </c>
      <c r="I122" s="70">
        <f t="shared" ref="I122:J122" si="137">I124</f>
        <v>1652.5554</v>
      </c>
      <c r="J122" s="70">
        <f t="shared" si="137"/>
        <v>32.857099999999946</v>
      </c>
      <c r="K122" s="71">
        <f t="shared" ref="K122:K132" si="138">I122+J122</f>
        <v>1685.4124999999999</v>
      </c>
      <c r="L122" s="69">
        <f t="shared" ref="L122:M122" si="139">L124</f>
        <v>1693.1527000000001</v>
      </c>
      <c r="M122" s="70">
        <f t="shared" si="139"/>
        <v>0</v>
      </c>
      <c r="N122" s="71">
        <f>L122+M122</f>
        <v>1693.1527000000001</v>
      </c>
      <c r="O122" s="69">
        <f t="shared" ref="O122:P122" si="140">O124</f>
        <v>1767.6514</v>
      </c>
      <c r="P122" s="70">
        <f t="shared" si="140"/>
        <v>0</v>
      </c>
      <c r="Q122" s="71">
        <f t="shared" ref="Q122:Q124" si="141">O122+P122</f>
        <v>1767.6514</v>
      </c>
      <c r="R122" s="69">
        <f t="shared" ref="R122:S122" si="142">R124</f>
        <v>1841.8928000000001</v>
      </c>
      <c r="S122" s="70">
        <f t="shared" si="142"/>
        <v>0</v>
      </c>
      <c r="T122" s="71">
        <f>R122+S122</f>
        <v>1841.8928000000001</v>
      </c>
      <c r="U122" s="42">
        <f t="shared" ref="U122:U124" si="143">SUM(D122,G122,J122,M122,P122,S122)</f>
        <v>64.606099999999969</v>
      </c>
      <c r="V122" s="43">
        <f>SUM(E122,H122,K122,N122,Q122,T122)</f>
        <v>10163.0594</v>
      </c>
      <c r="W122" s="120"/>
      <c r="X122" s="119"/>
      <c r="Y122" s="119"/>
      <c r="Z122" s="119"/>
    </row>
    <row r="123" spans="1:26" x14ac:dyDescent="0.2">
      <c r="A123" s="282"/>
      <c r="B123" s="33" t="s">
        <v>2</v>
      </c>
      <c r="C123" s="10"/>
      <c r="D123" s="9"/>
      <c r="E123" s="3">
        <f t="shared" ref="E123:E124" si="144">C123+D123</f>
        <v>0</v>
      </c>
      <c r="F123" s="9"/>
      <c r="G123" s="9"/>
      <c r="H123" s="3">
        <f t="shared" ref="H123:H124" si="145">F123+G123</f>
        <v>0</v>
      </c>
      <c r="I123" s="9"/>
      <c r="J123" s="9"/>
      <c r="K123" s="3">
        <f t="shared" si="138"/>
        <v>0</v>
      </c>
      <c r="L123" s="10"/>
      <c r="M123" s="9"/>
      <c r="N123" s="3">
        <f t="shared" ref="N123:N124" si="146">L123+M123</f>
        <v>0</v>
      </c>
      <c r="O123" s="10"/>
      <c r="P123" s="9"/>
      <c r="Q123" s="3">
        <f t="shared" si="141"/>
        <v>0</v>
      </c>
      <c r="R123" s="10"/>
      <c r="S123" s="9"/>
      <c r="T123" s="3">
        <f t="shared" ref="T123:T124" si="147">R123+S123</f>
        <v>0</v>
      </c>
      <c r="U123" s="10">
        <f t="shared" si="143"/>
        <v>0</v>
      </c>
      <c r="V123" s="11">
        <f>SUM(E123,H123,K123,N123,Q123,T123)</f>
        <v>0</v>
      </c>
      <c r="W123" s="120"/>
      <c r="X123" s="119"/>
      <c r="Y123" s="119"/>
      <c r="Z123" s="119"/>
    </row>
    <row r="124" spans="1:26" x14ac:dyDescent="0.2">
      <c r="A124" s="283"/>
      <c r="B124" s="34" t="s">
        <v>3</v>
      </c>
      <c r="C124" s="10">
        <v>1587.5</v>
      </c>
      <c r="D124" s="9"/>
      <c r="E124" s="3">
        <f t="shared" si="144"/>
        <v>1587.5</v>
      </c>
      <c r="F124" s="9">
        <v>1555.701</v>
      </c>
      <c r="G124" s="9">
        <f>1587.45-1555.701</f>
        <v>31.749000000000024</v>
      </c>
      <c r="H124" s="3">
        <f t="shared" si="145"/>
        <v>1587.45</v>
      </c>
      <c r="I124" s="9">
        <v>1652.5554</v>
      </c>
      <c r="J124" s="9">
        <f>1685.4125-1652.5554</f>
        <v>32.857099999999946</v>
      </c>
      <c r="K124" s="3">
        <f t="shared" si="138"/>
        <v>1685.4124999999999</v>
      </c>
      <c r="L124" s="10">
        <v>1693.1527000000001</v>
      </c>
      <c r="M124" s="9"/>
      <c r="N124" s="11">
        <f t="shared" si="146"/>
        <v>1693.1527000000001</v>
      </c>
      <c r="O124" s="10">
        <v>1767.6514</v>
      </c>
      <c r="P124" s="9"/>
      <c r="Q124" s="3">
        <f t="shared" si="141"/>
        <v>1767.6514</v>
      </c>
      <c r="R124" s="10">
        <v>1841.8928000000001</v>
      </c>
      <c r="S124" s="9"/>
      <c r="T124" s="3">
        <f t="shared" si="147"/>
        <v>1841.8928000000001</v>
      </c>
      <c r="U124" s="10">
        <f t="shared" si="143"/>
        <v>64.606099999999969</v>
      </c>
      <c r="V124" s="11">
        <f>SUM(E124,H124,K124,N124,Q124,T124)</f>
        <v>10163.0594</v>
      </c>
      <c r="W124" s="120"/>
      <c r="X124" s="119"/>
      <c r="Y124" s="119"/>
      <c r="Z124" s="119"/>
    </row>
    <row r="125" spans="1:26" x14ac:dyDescent="0.2">
      <c r="A125" s="147">
        <v>26</v>
      </c>
      <c r="B125" s="62" t="s">
        <v>21</v>
      </c>
      <c r="C125" s="63">
        <v>1562.45</v>
      </c>
      <c r="D125" s="70">
        <v>780.45</v>
      </c>
      <c r="E125" s="71">
        <f>C125+D125</f>
        <v>2342.9</v>
      </c>
      <c r="F125" s="70">
        <v>1562.4498000000001</v>
      </c>
      <c r="G125" s="70">
        <v>1061.3599999999999</v>
      </c>
      <c r="H125" s="71">
        <f>F125+G125</f>
        <v>2623.8098</v>
      </c>
      <c r="I125" s="69">
        <v>1562.45</v>
      </c>
      <c r="J125" s="70">
        <v>902.5</v>
      </c>
      <c r="K125" s="71">
        <f>I125+J125</f>
        <v>2464.9499999999998</v>
      </c>
      <c r="L125" s="69">
        <v>1440.78</v>
      </c>
      <c r="M125" s="70">
        <f>937.6</f>
        <v>937.6</v>
      </c>
      <c r="N125" s="71">
        <f>L125+M125</f>
        <v>2378.38</v>
      </c>
      <c r="O125" s="69">
        <v>1470.5742</v>
      </c>
      <c r="P125" s="70">
        <f>937.6</f>
        <v>937.6</v>
      </c>
      <c r="Q125" s="71">
        <f>O125+P125</f>
        <v>2408.1741999999999</v>
      </c>
      <c r="R125" s="69">
        <v>1439.6784</v>
      </c>
      <c r="S125" s="70">
        <f>937.6</f>
        <v>937.6</v>
      </c>
      <c r="T125" s="71">
        <f>R125+S125</f>
        <v>2377.2784000000001</v>
      </c>
      <c r="U125" s="42">
        <f t="shared" ref="U125" si="148">D125+G125+J125+M125+P125+S125</f>
        <v>5557.1100000000006</v>
      </c>
      <c r="V125" s="43">
        <f t="shared" ref="V125" si="149">E125+H125+K125+N125+Q125+T125</f>
        <v>14595.492399999999</v>
      </c>
      <c r="W125" s="65"/>
      <c r="X125" s="119"/>
      <c r="Y125" s="119"/>
      <c r="Z125" s="119"/>
    </row>
    <row r="126" spans="1:26" x14ac:dyDescent="0.2">
      <c r="A126" s="281">
        <v>27</v>
      </c>
      <c r="B126" s="127" t="s">
        <v>98</v>
      </c>
      <c r="C126" s="1">
        <f>C128</f>
        <v>2660.3</v>
      </c>
      <c r="D126" s="1">
        <f>D128</f>
        <v>1328.85</v>
      </c>
      <c r="E126" s="93">
        <f t="shared" ref="E126:E128" si="150">C126+D126</f>
        <v>3989.15</v>
      </c>
      <c r="F126" s="2">
        <f t="shared" ref="F126:G126" si="151">F128</f>
        <v>2290.3122000000003</v>
      </c>
      <c r="G126" s="1">
        <f t="shared" si="151"/>
        <v>1925.1</v>
      </c>
      <c r="H126" s="3">
        <f t="shared" ref="H126:H128" si="152">SUM(F126:G126)</f>
        <v>4215.4122000000007</v>
      </c>
      <c r="I126" s="2">
        <f t="shared" ref="I126:J126" si="153">I128</f>
        <v>2689.9449000000004</v>
      </c>
      <c r="J126" s="1">
        <f t="shared" si="153"/>
        <v>1689</v>
      </c>
      <c r="K126" s="3">
        <f t="shared" ref="K126:K128" si="154">SUM(I126:J126)</f>
        <v>4378.9449000000004</v>
      </c>
      <c r="L126" s="2">
        <f t="shared" ref="L126:M126" si="155">L128</f>
        <v>3100</v>
      </c>
      <c r="M126" s="1">
        <f t="shared" si="155"/>
        <v>1200</v>
      </c>
      <c r="N126" s="3">
        <f t="shared" ref="N126:N128" si="156">SUM(L126:M126)</f>
        <v>4300</v>
      </c>
      <c r="O126" s="2">
        <f t="shared" ref="O126:P126" si="157">O128</f>
        <v>3270</v>
      </c>
      <c r="P126" s="1">
        <f t="shared" si="157"/>
        <v>1030</v>
      </c>
      <c r="Q126" s="3">
        <f t="shared" ref="Q126:Q128" si="158">SUM(O126:P126)</f>
        <v>4300</v>
      </c>
      <c r="R126" s="2">
        <f t="shared" ref="R126:S126" si="159">R128</f>
        <v>3500</v>
      </c>
      <c r="S126" s="1">
        <f t="shared" si="159"/>
        <v>800</v>
      </c>
      <c r="T126" s="3">
        <f t="shared" ref="T126:T128" si="160">SUM(R126:S126)</f>
        <v>4300</v>
      </c>
      <c r="U126" s="10">
        <f t="shared" ref="U126:U128" si="161">SUM(D126,G126,J126,M126,P126,S126)</f>
        <v>7972.95</v>
      </c>
      <c r="V126" s="11">
        <f>SUM(E126,H126,K126,N126,Q126,T126)</f>
        <v>25483.507100000003</v>
      </c>
      <c r="W126" s="210"/>
      <c r="X126" s="119"/>
      <c r="Y126" s="119"/>
      <c r="Z126" s="119"/>
    </row>
    <row r="127" spans="1:26" x14ac:dyDescent="0.2">
      <c r="A127" s="282"/>
      <c r="B127" s="129" t="s">
        <v>2</v>
      </c>
      <c r="C127" s="9"/>
      <c r="D127" s="9"/>
      <c r="E127" s="74">
        <f t="shared" si="150"/>
        <v>0</v>
      </c>
      <c r="F127" s="10"/>
      <c r="G127" s="9"/>
      <c r="H127" s="3">
        <f t="shared" si="152"/>
        <v>0</v>
      </c>
      <c r="I127" s="10"/>
      <c r="J127" s="9"/>
      <c r="K127" s="3">
        <f t="shared" si="154"/>
        <v>0</v>
      </c>
      <c r="L127" s="10"/>
      <c r="M127" s="9"/>
      <c r="N127" s="3">
        <f t="shared" si="156"/>
        <v>0</v>
      </c>
      <c r="O127" s="10"/>
      <c r="P127" s="9"/>
      <c r="Q127" s="3">
        <f t="shared" si="158"/>
        <v>0</v>
      </c>
      <c r="R127" s="10"/>
      <c r="S127" s="9"/>
      <c r="T127" s="3">
        <f t="shared" si="160"/>
        <v>0</v>
      </c>
      <c r="U127" s="10">
        <f t="shared" si="161"/>
        <v>0</v>
      </c>
      <c r="V127" s="11">
        <f t="shared" ref="V127:V128" si="162">SUM(E127,H127,K127,N127,Q127,T127)</f>
        <v>0</v>
      </c>
      <c r="W127" s="140"/>
      <c r="X127" s="119"/>
      <c r="Y127" s="119"/>
      <c r="Z127" s="119"/>
    </row>
    <row r="128" spans="1:26" x14ac:dyDescent="0.2">
      <c r="A128" s="283"/>
      <c r="B128" s="130" t="s">
        <v>76</v>
      </c>
      <c r="C128" s="9">
        <v>2660.3</v>
      </c>
      <c r="D128" s="9">
        <v>1328.85</v>
      </c>
      <c r="E128" s="74">
        <f t="shared" si="150"/>
        <v>3989.15</v>
      </c>
      <c r="F128" s="10">
        <v>2290.3122000000003</v>
      </c>
      <c r="G128" s="9">
        <v>1925.1</v>
      </c>
      <c r="H128" s="3">
        <f t="shared" si="152"/>
        <v>4215.4122000000007</v>
      </c>
      <c r="I128" s="10">
        <v>2689.9449000000004</v>
      </c>
      <c r="J128" s="9">
        <v>1689</v>
      </c>
      <c r="K128" s="3">
        <f t="shared" si="154"/>
        <v>4378.9449000000004</v>
      </c>
      <c r="L128" s="10">
        <v>3100</v>
      </c>
      <c r="M128" s="9">
        <v>1200</v>
      </c>
      <c r="N128" s="3">
        <f t="shared" si="156"/>
        <v>4300</v>
      </c>
      <c r="O128" s="10">
        <v>3270</v>
      </c>
      <c r="P128" s="9">
        <v>1030</v>
      </c>
      <c r="Q128" s="3">
        <f t="shared" si="158"/>
        <v>4300</v>
      </c>
      <c r="R128" s="10">
        <v>3500</v>
      </c>
      <c r="S128" s="9">
        <v>800</v>
      </c>
      <c r="T128" s="3">
        <f t="shared" si="160"/>
        <v>4300</v>
      </c>
      <c r="U128" s="10">
        <f t="shared" si="161"/>
        <v>7972.95</v>
      </c>
      <c r="V128" s="11">
        <f t="shared" si="162"/>
        <v>25483.507100000003</v>
      </c>
      <c r="W128" s="140"/>
      <c r="X128" s="119"/>
      <c r="Y128" s="119"/>
      <c r="Z128" s="119"/>
    </row>
    <row r="129" spans="1:29" x14ac:dyDescent="0.2">
      <c r="A129" s="281">
        <v>28</v>
      </c>
      <c r="B129" s="127" t="s">
        <v>41</v>
      </c>
      <c r="C129" s="45">
        <f>C131</f>
        <v>380</v>
      </c>
      <c r="D129" s="1">
        <f t="shared" ref="D129" si="163">D131</f>
        <v>200</v>
      </c>
      <c r="E129" s="3">
        <f>C129+D129</f>
        <v>580</v>
      </c>
      <c r="F129" s="1">
        <f t="shared" ref="F129:G129" si="164">F131</f>
        <v>372.4</v>
      </c>
      <c r="G129" s="1">
        <f t="shared" si="164"/>
        <v>307.60000000000002</v>
      </c>
      <c r="H129" s="3">
        <f>F129+G129</f>
        <v>680</v>
      </c>
      <c r="I129" s="1">
        <f t="shared" ref="I129:J129" si="165">I131</f>
        <v>431.16809999999998</v>
      </c>
      <c r="J129" s="1">
        <f t="shared" si="165"/>
        <v>528.9</v>
      </c>
      <c r="K129" s="3">
        <f>I129+J129</f>
        <v>960.06809999999996</v>
      </c>
      <c r="L129" s="2">
        <f t="shared" ref="L129" si="166">L131</f>
        <v>460.40859999999998</v>
      </c>
      <c r="M129" s="1">
        <v>580</v>
      </c>
      <c r="N129" s="3">
        <f t="shared" ref="N129:N131" si="167">L129+M129</f>
        <v>1040.4086</v>
      </c>
      <c r="O129" s="2">
        <f t="shared" ref="O129" si="168">O131</f>
        <v>480.66660000000002</v>
      </c>
      <c r="P129" s="1">
        <v>580</v>
      </c>
      <c r="Q129" s="3">
        <f t="shared" ref="Q129:Q131" si="169">O129+P129</f>
        <v>1060.6666</v>
      </c>
      <c r="R129" s="2">
        <f t="shared" ref="R129" si="170">R131</f>
        <v>500.8546</v>
      </c>
      <c r="S129" s="1">
        <v>580</v>
      </c>
      <c r="T129" s="3">
        <f t="shared" ref="T129:T131" si="171">R129+S129</f>
        <v>1080.8546000000001</v>
      </c>
      <c r="U129" s="10">
        <f t="shared" ref="U129:U131" si="172">D129+G129+J129+M129+P129+S129</f>
        <v>2776.5</v>
      </c>
      <c r="V129" s="11">
        <f t="shared" ref="V129:V131" si="173">E129+H129+K129+N129+Q129+T129</f>
        <v>5401.9979000000003</v>
      </c>
      <c r="W129" s="140"/>
      <c r="X129" s="119"/>
      <c r="Y129" s="119"/>
      <c r="Z129" s="119"/>
    </row>
    <row r="130" spans="1:29" x14ac:dyDescent="0.2">
      <c r="A130" s="282"/>
      <c r="B130" s="129" t="s">
        <v>2</v>
      </c>
      <c r="C130" s="92"/>
      <c r="D130" s="9"/>
      <c r="E130" s="11">
        <f>C130+D130</f>
        <v>0</v>
      </c>
      <c r="F130" s="9"/>
      <c r="G130" s="9"/>
      <c r="H130" s="11">
        <f>F130+G130</f>
        <v>0</v>
      </c>
      <c r="I130" s="9"/>
      <c r="J130" s="9"/>
      <c r="K130" s="11">
        <f>I130+J130</f>
        <v>0</v>
      </c>
      <c r="L130" s="10"/>
      <c r="M130" s="9"/>
      <c r="N130" s="11">
        <f t="shared" si="167"/>
        <v>0</v>
      </c>
      <c r="O130" s="10"/>
      <c r="P130" s="9"/>
      <c r="Q130" s="11">
        <f t="shared" si="169"/>
        <v>0</v>
      </c>
      <c r="R130" s="10"/>
      <c r="S130" s="9"/>
      <c r="T130" s="11">
        <f t="shared" si="171"/>
        <v>0</v>
      </c>
      <c r="U130" s="10">
        <f t="shared" si="172"/>
        <v>0</v>
      </c>
      <c r="V130" s="11">
        <f t="shared" si="173"/>
        <v>0</v>
      </c>
      <c r="W130" s="128"/>
      <c r="X130" s="119"/>
      <c r="Y130" s="119"/>
      <c r="Z130" s="119"/>
    </row>
    <row r="131" spans="1:29" x14ac:dyDescent="0.2">
      <c r="A131" s="283"/>
      <c r="B131" s="130" t="s">
        <v>42</v>
      </c>
      <c r="C131" s="92">
        <v>380</v>
      </c>
      <c r="D131" s="9">
        <v>200</v>
      </c>
      <c r="E131" s="11">
        <f>C131+D131</f>
        <v>580</v>
      </c>
      <c r="F131" s="9">
        <v>372.4</v>
      </c>
      <c r="G131" s="9">
        <f>300+7.6</f>
        <v>307.60000000000002</v>
      </c>
      <c r="H131" s="11">
        <f>F131+G131</f>
        <v>680</v>
      </c>
      <c r="I131" s="9">
        <v>431.16809999999998</v>
      </c>
      <c r="J131" s="9">
        <f>520.3+8.6</f>
        <v>528.9</v>
      </c>
      <c r="K131" s="11">
        <f>I131+J131</f>
        <v>960.06809999999996</v>
      </c>
      <c r="L131" s="10">
        <v>460.40859999999998</v>
      </c>
      <c r="M131" s="9">
        <f>M129</f>
        <v>580</v>
      </c>
      <c r="N131" s="11">
        <f t="shared" si="167"/>
        <v>1040.4086</v>
      </c>
      <c r="O131" s="10">
        <v>480.66660000000002</v>
      </c>
      <c r="P131" s="9">
        <f>P129</f>
        <v>580</v>
      </c>
      <c r="Q131" s="11">
        <f t="shared" si="169"/>
        <v>1060.6666</v>
      </c>
      <c r="R131" s="10">
        <v>500.8546</v>
      </c>
      <c r="S131" s="9">
        <f>S129</f>
        <v>580</v>
      </c>
      <c r="T131" s="11">
        <f t="shared" si="171"/>
        <v>1080.8546000000001</v>
      </c>
      <c r="U131" s="10">
        <f t="shared" si="172"/>
        <v>2776.5</v>
      </c>
      <c r="V131" s="11">
        <f t="shared" si="173"/>
        <v>5401.9979000000003</v>
      </c>
      <c r="W131" s="128"/>
      <c r="X131" s="119"/>
      <c r="Y131" s="119"/>
      <c r="Z131" s="119"/>
    </row>
    <row r="132" spans="1:29" ht="27" customHeight="1" x14ac:dyDescent="0.2">
      <c r="A132" s="254">
        <v>29</v>
      </c>
      <c r="B132" s="232" t="s">
        <v>142</v>
      </c>
      <c r="C132" s="233">
        <f>C134</f>
        <v>0</v>
      </c>
      <c r="D132" s="234">
        <f>SUM(D134)</f>
        <v>1000</v>
      </c>
      <c r="E132" s="64">
        <f t="shared" si="129"/>
        <v>1000</v>
      </c>
      <c r="F132" s="70">
        <f t="shared" ref="F132:G132" si="174">F134</f>
        <v>0</v>
      </c>
      <c r="G132" s="70">
        <f t="shared" si="174"/>
        <v>2000</v>
      </c>
      <c r="H132" s="71">
        <f t="shared" ref="H132" si="175">F132+G132</f>
        <v>2000</v>
      </c>
      <c r="I132" s="70">
        <f t="shared" ref="I132:J132" si="176">I134</f>
        <v>0</v>
      </c>
      <c r="J132" s="70">
        <f t="shared" si="176"/>
        <v>2000</v>
      </c>
      <c r="K132" s="71">
        <f t="shared" si="138"/>
        <v>2000</v>
      </c>
      <c r="L132" s="69">
        <f t="shared" ref="L132:M132" si="177">L134</f>
        <v>0</v>
      </c>
      <c r="M132" s="70">
        <f t="shared" si="177"/>
        <v>2000</v>
      </c>
      <c r="N132" s="71">
        <f t="shared" ref="N132:N138" si="178">L132+M132</f>
        <v>2000</v>
      </c>
      <c r="O132" s="69">
        <f t="shared" ref="O132:P132" si="179">O134</f>
        <v>0</v>
      </c>
      <c r="P132" s="70">
        <f t="shared" si="179"/>
        <v>2000</v>
      </c>
      <c r="Q132" s="71">
        <f t="shared" ref="Q132:Q138" si="180">O132+P132</f>
        <v>2000</v>
      </c>
      <c r="R132" s="69">
        <f t="shared" ref="R132:S132" si="181">R134</f>
        <v>0</v>
      </c>
      <c r="S132" s="70">
        <f t="shared" si="181"/>
        <v>2000</v>
      </c>
      <c r="T132" s="71">
        <f t="shared" ref="T132:T138" si="182">R132+S132</f>
        <v>2000</v>
      </c>
      <c r="U132" s="42">
        <f>D132+G132+J132+M132+P132+S132</f>
        <v>11000</v>
      </c>
      <c r="V132" s="43">
        <f>E132+H132+K132+N132+Q132+T132</f>
        <v>11000</v>
      </c>
      <c r="W132" s="65"/>
    </row>
    <row r="133" spans="1:29" x14ac:dyDescent="0.2">
      <c r="A133" s="254"/>
      <c r="B133" s="235" t="s">
        <v>2</v>
      </c>
      <c r="C133" s="231"/>
      <c r="D133" s="35"/>
      <c r="E133" s="116"/>
      <c r="F133" s="9"/>
      <c r="G133" s="9"/>
      <c r="H133" s="3"/>
      <c r="I133" s="9"/>
      <c r="J133" s="9"/>
      <c r="K133" s="3"/>
      <c r="L133" s="10"/>
      <c r="M133" s="9"/>
      <c r="N133" s="3"/>
      <c r="O133" s="10"/>
      <c r="P133" s="9"/>
      <c r="Q133" s="3"/>
      <c r="R133" s="10"/>
      <c r="S133" s="9"/>
      <c r="T133" s="3"/>
      <c r="U133" s="10"/>
      <c r="V133" s="11"/>
      <c r="W133" s="39"/>
    </row>
    <row r="134" spans="1:29" ht="30.75" customHeight="1" x14ac:dyDescent="0.2">
      <c r="A134" s="254"/>
      <c r="B134" s="230" t="s">
        <v>140</v>
      </c>
      <c r="C134" s="231"/>
      <c r="D134" s="35">
        <v>1000</v>
      </c>
      <c r="E134" s="116">
        <f>C134+D134</f>
        <v>1000</v>
      </c>
      <c r="F134" s="9"/>
      <c r="G134" s="9">
        <v>2000</v>
      </c>
      <c r="H134" s="3">
        <f>G134</f>
        <v>2000</v>
      </c>
      <c r="I134" s="9"/>
      <c r="J134" s="9">
        <v>2000</v>
      </c>
      <c r="K134" s="3">
        <f>I134+J134</f>
        <v>2000</v>
      </c>
      <c r="L134" s="10"/>
      <c r="M134" s="9">
        <v>2000</v>
      </c>
      <c r="N134" s="3">
        <f t="shared" si="178"/>
        <v>2000</v>
      </c>
      <c r="O134" s="10"/>
      <c r="P134" s="9">
        <v>2000</v>
      </c>
      <c r="Q134" s="3">
        <f t="shared" si="180"/>
        <v>2000</v>
      </c>
      <c r="R134" s="10"/>
      <c r="S134" s="9">
        <v>2000</v>
      </c>
      <c r="T134" s="3">
        <f t="shared" si="182"/>
        <v>2000</v>
      </c>
      <c r="U134" s="10">
        <f>D134+G134+J134+M134+P134+S134</f>
        <v>11000</v>
      </c>
      <c r="V134" s="11">
        <f>E134+H134+K134+N134+Q134+T134</f>
        <v>11000</v>
      </c>
      <c r="W134" s="39"/>
      <c r="X134" s="17" t="s">
        <v>150</v>
      </c>
    </row>
    <row r="135" spans="1:29" ht="45" customHeight="1" x14ac:dyDescent="0.2">
      <c r="A135" s="254">
        <v>30</v>
      </c>
      <c r="B135" s="127" t="s">
        <v>141</v>
      </c>
      <c r="C135" s="45">
        <f>C137+C138</f>
        <v>0</v>
      </c>
      <c r="D135" s="1">
        <f>SUM(D137:D138)</f>
        <v>1000</v>
      </c>
      <c r="E135" s="116">
        <f>C135+D135</f>
        <v>1000</v>
      </c>
      <c r="F135" s="1">
        <f>F137+F138</f>
        <v>0</v>
      </c>
      <c r="G135" s="1">
        <f>G137+G138</f>
        <v>1600</v>
      </c>
      <c r="H135" s="3">
        <f>F135+G135</f>
        <v>1600</v>
      </c>
      <c r="I135" s="1">
        <f>I137+I138</f>
        <v>0</v>
      </c>
      <c r="J135" s="1">
        <f>J137+J138</f>
        <v>2700</v>
      </c>
      <c r="K135" s="3">
        <f>I135+J135</f>
        <v>2700</v>
      </c>
      <c r="L135" s="2">
        <f>L137+L138</f>
        <v>0</v>
      </c>
      <c r="M135" s="1">
        <f>M137+M138</f>
        <v>2800</v>
      </c>
      <c r="N135" s="3">
        <f t="shared" si="178"/>
        <v>2800</v>
      </c>
      <c r="O135" s="2">
        <f>O137+O138</f>
        <v>0</v>
      </c>
      <c r="P135" s="1">
        <f>P137+P138</f>
        <v>2900</v>
      </c>
      <c r="Q135" s="3">
        <f t="shared" si="180"/>
        <v>2900</v>
      </c>
      <c r="R135" s="2">
        <f>R137+R138</f>
        <v>0</v>
      </c>
      <c r="S135" s="1">
        <f>S137+S138</f>
        <v>3000</v>
      </c>
      <c r="T135" s="3">
        <f t="shared" si="182"/>
        <v>3000</v>
      </c>
      <c r="U135" s="10">
        <f>D135+G135+J135+M135+P135+S135</f>
        <v>14000</v>
      </c>
      <c r="V135" s="11">
        <f>E135+H135+K135+N135+Q135+T135</f>
        <v>14000</v>
      </c>
      <c r="W135" s="39"/>
    </row>
    <row r="136" spans="1:29" ht="15" customHeight="1" x14ac:dyDescent="0.2">
      <c r="A136" s="254"/>
      <c r="B136" s="129" t="s">
        <v>2</v>
      </c>
      <c r="C136" s="45"/>
      <c r="D136" s="1"/>
      <c r="E136" s="116"/>
      <c r="F136" s="1"/>
      <c r="G136" s="1"/>
      <c r="H136" s="3"/>
      <c r="I136" s="1"/>
      <c r="J136" s="1"/>
      <c r="K136" s="3"/>
      <c r="L136" s="2"/>
      <c r="M136" s="1"/>
      <c r="N136" s="3"/>
      <c r="O136" s="2"/>
      <c r="P136" s="1"/>
      <c r="Q136" s="3"/>
      <c r="R136" s="2"/>
      <c r="S136" s="1"/>
      <c r="T136" s="3"/>
      <c r="U136" s="10"/>
      <c r="V136" s="11"/>
      <c r="W136" s="39"/>
    </row>
    <row r="137" spans="1:29" ht="38.25" x14ac:dyDescent="0.2">
      <c r="A137" s="254"/>
      <c r="B137" s="230" t="s">
        <v>131</v>
      </c>
      <c r="C137" s="231"/>
      <c r="D137" s="35">
        <v>500</v>
      </c>
      <c r="E137" s="116">
        <f>C137+D137</f>
        <v>500</v>
      </c>
      <c r="F137" s="9"/>
      <c r="G137" s="9">
        <v>600</v>
      </c>
      <c r="H137" s="3">
        <f>F137+G137</f>
        <v>600</v>
      </c>
      <c r="I137" s="9"/>
      <c r="J137" s="9">
        <v>700</v>
      </c>
      <c r="K137" s="3">
        <f>I137+J137</f>
        <v>700</v>
      </c>
      <c r="L137" s="10"/>
      <c r="M137" s="9">
        <v>800</v>
      </c>
      <c r="N137" s="3">
        <f t="shared" si="178"/>
        <v>800</v>
      </c>
      <c r="O137" s="10"/>
      <c r="P137" s="9">
        <v>900</v>
      </c>
      <c r="Q137" s="3">
        <f t="shared" si="180"/>
        <v>900</v>
      </c>
      <c r="R137" s="10"/>
      <c r="S137" s="9">
        <v>1000</v>
      </c>
      <c r="T137" s="3">
        <f t="shared" si="182"/>
        <v>1000</v>
      </c>
      <c r="U137" s="10">
        <f>D137+G137+J137+M137+P137+S137</f>
        <v>4500</v>
      </c>
      <c r="V137" s="11">
        <f>E137+H137+K137+N137+Q137+T137</f>
        <v>4500</v>
      </c>
      <c r="W137" s="39"/>
    </row>
    <row r="138" spans="1:29" ht="47.25" customHeight="1" thickBot="1" x14ac:dyDescent="0.25">
      <c r="A138" s="277"/>
      <c r="B138" s="137" t="s">
        <v>132</v>
      </c>
      <c r="C138" s="104"/>
      <c r="D138" s="58">
        <v>500</v>
      </c>
      <c r="E138" s="117">
        <f>C138+D138</f>
        <v>500</v>
      </c>
      <c r="F138" s="58"/>
      <c r="G138" s="58">
        <v>1000</v>
      </c>
      <c r="H138" s="117">
        <f>F138+G138</f>
        <v>1000</v>
      </c>
      <c r="I138" s="58"/>
      <c r="J138" s="58">
        <v>2000</v>
      </c>
      <c r="K138" s="117">
        <f>I138+J138</f>
        <v>2000</v>
      </c>
      <c r="L138" s="60"/>
      <c r="M138" s="58">
        <v>2000</v>
      </c>
      <c r="N138" s="117">
        <f t="shared" si="178"/>
        <v>2000</v>
      </c>
      <c r="O138" s="60"/>
      <c r="P138" s="58">
        <v>2000</v>
      </c>
      <c r="Q138" s="117">
        <f t="shared" si="180"/>
        <v>2000</v>
      </c>
      <c r="R138" s="60"/>
      <c r="S138" s="58">
        <v>2000</v>
      </c>
      <c r="T138" s="117">
        <f t="shared" si="182"/>
        <v>2000</v>
      </c>
      <c r="U138" s="60">
        <f>D138+G138+J138+M138+P138+S138</f>
        <v>9500</v>
      </c>
      <c r="V138" s="59">
        <f>E138+H138+K138+N138+Q138+T138</f>
        <v>9500</v>
      </c>
      <c r="W138" s="105"/>
    </row>
    <row r="139" spans="1:29" ht="19.5" customHeight="1" thickBot="1" x14ac:dyDescent="0.25">
      <c r="A139" s="286" t="s">
        <v>177</v>
      </c>
      <c r="B139" s="287"/>
      <c r="C139" s="287"/>
      <c r="D139" s="287"/>
      <c r="E139" s="287"/>
      <c r="F139" s="287"/>
      <c r="G139" s="287"/>
      <c r="H139" s="287"/>
      <c r="I139" s="287"/>
      <c r="J139" s="287"/>
      <c r="K139" s="287"/>
      <c r="L139" s="287"/>
      <c r="M139" s="287"/>
      <c r="N139" s="287"/>
      <c r="O139" s="287"/>
      <c r="P139" s="287"/>
      <c r="Q139" s="287"/>
      <c r="R139" s="287"/>
      <c r="S139" s="287"/>
      <c r="T139" s="287"/>
      <c r="U139" s="287"/>
      <c r="V139" s="287"/>
      <c r="W139" s="288"/>
      <c r="X139" s="181"/>
      <c r="Y139" s="181"/>
      <c r="Z139" s="181"/>
      <c r="AA139" s="181"/>
      <c r="AB139" s="181"/>
      <c r="AC139" s="181"/>
    </row>
    <row r="140" spans="1:29" ht="14.25" customHeight="1" thickBot="1" x14ac:dyDescent="0.25">
      <c r="A140" s="156"/>
      <c r="B140" s="49" t="s">
        <v>88</v>
      </c>
      <c r="C140" s="50">
        <f>C141+C146+C145</f>
        <v>1433.9</v>
      </c>
      <c r="D140" s="51">
        <f>D141+D146+D145</f>
        <v>4554.8999999999996</v>
      </c>
      <c r="E140" s="53">
        <f>C140+D140</f>
        <v>5988.7999999999993</v>
      </c>
      <c r="F140" s="55">
        <f t="shared" ref="F140:G140" si="183">F141+F146+F145</f>
        <v>1405.25</v>
      </c>
      <c r="G140" s="51">
        <f t="shared" si="183"/>
        <v>8904.7999999999993</v>
      </c>
      <c r="H140" s="52">
        <f>F140+G140</f>
        <v>10310.049999999999</v>
      </c>
      <c r="I140" s="50">
        <f t="shared" ref="I140:J140" si="184">I141+I146+I145</f>
        <v>1626.9905000000001</v>
      </c>
      <c r="J140" s="51">
        <f t="shared" si="184"/>
        <v>12575.5095</v>
      </c>
      <c r="K140" s="53">
        <f>I140+J140</f>
        <v>14202.5</v>
      </c>
      <c r="L140" s="55">
        <f>L141+L146+L145</f>
        <v>1737.32825</v>
      </c>
      <c r="M140" s="51">
        <f t="shared" ref="M140" si="185">M141+M146+M145</f>
        <v>14078.671750000001</v>
      </c>
      <c r="N140" s="52">
        <f>L140+M140</f>
        <v>15816.000000000002</v>
      </c>
      <c r="O140" s="50">
        <f t="shared" ref="O140:P140" si="186">O141+O146+O145</f>
        <v>1813.7707</v>
      </c>
      <c r="P140" s="51">
        <f t="shared" si="186"/>
        <v>15220.5293</v>
      </c>
      <c r="Q140" s="53">
        <f>O140+P140</f>
        <v>17034.3</v>
      </c>
      <c r="R140" s="55">
        <f t="shared" ref="R140:S140" si="187">R141+R146+R145</f>
        <v>1889.9490499999999</v>
      </c>
      <c r="S140" s="51">
        <f t="shared" si="187"/>
        <v>17592.300949999997</v>
      </c>
      <c r="T140" s="52">
        <f>R140+S140</f>
        <v>19482.249999999996</v>
      </c>
      <c r="U140" s="211">
        <f>SUM(D140,G140,J140,M140,P140,S140)</f>
        <v>72926.711500000005</v>
      </c>
      <c r="V140" s="211">
        <f>SUM(E140,H140,K140,N140,Q140,T140)</f>
        <v>82833.899999999994</v>
      </c>
      <c r="W140" s="149"/>
      <c r="X140" s="119"/>
      <c r="Y140" s="119"/>
      <c r="Z140" s="119"/>
    </row>
    <row r="141" spans="1:29" ht="38.25" x14ac:dyDescent="0.2">
      <c r="A141" s="254">
        <v>31</v>
      </c>
      <c r="B141" s="251" t="s">
        <v>178</v>
      </c>
      <c r="C141" s="63">
        <f>C143+C144</f>
        <v>1433.9</v>
      </c>
      <c r="D141" s="70">
        <f>D143+D144</f>
        <v>3554.9</v>
      </c>
      <c r="E141" s="150">
        <f>C141+D141</f>
        <v>4988.8</v>
      </c>
      <c r="F141" s="69">
        <f>F143+F144</f>
        <v>1405.25</v>
      </c>
      <c r="G141" s="70">
        <f>G143+G144</f>
        <v>6904.8</v>
      </c>
      <c r="H141" s="71">
        <f>F141+G141</f>
        <v>8310.0499999999993</v>
      </c>
      <c r="I141" s="63">
        <f>I143+I144</f>
        <v>1626.9905000000001</v>
      </c>
      <c r="J141" s="70">
        <f>J143+J144</f>
        <v>9575.5095000000001</v>
      </c>
      <c r="K141" s="150">
        <f>I141+J141</f>
        <v>11202.5</v>
      </c>
      <c r="L141" s="69">
        <f>L143+L144</f>
        <v>1737.32825</v>
      </c>
      <c r="M141" s="70">
        <f>M143+M144</f>
        <v>11078.671750000001</v>
      </c>
      <c r="N141" s="71">
        <f t="shared" ref="N141:N148" si="188">L141+M141</f>
        <v>12816.000000000002</v>
      </c>
      <c r="O141" s="63">
        <f>O143+O144</f>
        <v>1813.7707</v>
      </c>
      <c r="P141" s="70">
        <f>P143+P144</f>
        <v>12220.5293</v>
      </c>
      <c r="Q141" s="150">
        <f t="shared" ref="Q141:Q148" si="189">O141+P141</f>
        <v>14034.3</v>
      </c>
      <c r="R141" s="69">
        <f>R143+R144</f>
        <v>1889.9490499999999</v>
      </c>
      <c r="S141" s="70">
        <f>S143+S144</f>
        <v>14592.300949999999</v>
      </c>
      <c r="T141" s="71">
        <f t="shared" ref="T141:T148" si="190">R141+S141</f>
        <v>16482.25</v>
      </c>
      <c r="U141" s="86">
        <f t="shared" ref="U141:V148" si="191">SUM(D141,G141,J141,M141,P141,S141)</f>
        <v>57926.711499999998</v>
      </c>
      <c r="V141" s="72">
        <f t="shared" si="191"/>
        <v>67833.899999999994</v>
      </c>
      <c r="W141" s="151"/>
    </row>
    <row r="142" spans="1:29" x14ac:dyDescent="0.2">
      <c r="A142" s="254"/>
      <c r="B142" s="129" t="s">
        <v>2</v>
      </c>
      <c r="C142" s="92"/>
      <c r="D142" s="9"/>
      <c r="E142" s="93">
        <f>C142+D142</f>
        <v>0</v>
      </c>
      <c r="F142" s="10"/>
      <c r="G142" s="9"/>
      <c r="H142" s="3">
        <f>F142+G142</f>
        <v>0</v>
      </c>
      <c r="I142" s="92"/>
      <c r="J142" s="9"/>
      <c r="K142" s="93">
        <f>I142+J142</f>
        <v>0</v>
      </c>
      <c r="L142" s="10"/>
      <c r="M142" s="9"/>
      <c r="N142" s="3">
        <f t="shared" si="188"/>
        <v>0</v>
      </c>
      <c r="O142" s="92"/>
      <c r="P142" s="9"/>
      <c r="Q142" s="93">
        <f t="shared" si="189"/>
        <v>0</v>
      </c>
      <c r="R142" s="10"/>
      <c r="S142" s="9"/>
      <c r="T142" s="3">
        <f t="shared" si="190"/>
        <v>0</v>
      </c>
      <c r="U142" s="86">
        <f t="shared" si="191"/>
        <v>0</v>
      </c>
      <c r="V142" s="72">
        <f t="shared" si="191"/>
        <v>0</v>
      </c>
      <c r="W142" s="78"/>
    </row>
    <row r="143" spans="1:29" ht="56.25" customHeight="1" x14ac:dyDescent="0.2">
      <c r="A143" s="254"/>
      <c r="B143" s="130" t="s">
        <v>147</v>
      </c>
      <c r="C143" s="92">
        <v>1433.9</v>
      </c>
      <c r="D143" s="9">
        <v>2654.9</v>
      </c>
      <c r="E143" s="93">
        <f>C143+D143</f>
        <v>4088.8</v>
      </c>
      <c r="F143" s="10">
        <v>1405.25</v>
      </c>
      <c r="G143" s="9">
        <v>3744.8</v>
      </c>
      <c r="H143" s="3">
        <f>F143+G143</f>
        <v>5150.05</v>
      </c>
      <c r="I143" s="92">
        <v>1626.9905000000001</v>
      </c>
      <c r="J143" s="9">
        <f>5464.4-I143+500+698.1</f>
        <v>5035.5095000000001</v>
      </c>
      <c r="K143" s="93">
        <f>I143+J143</f>
        <v>6662.5</v>
      </c>
      <c r="L143" s="10">
        <v>1737.32825</v>
      </c>
      <c r="M143" s="9">
        <f>5857.8-L143+500+198.2</f>
        <v>4818.6717500000004</v>
      </c>
      <c r="N143" s="3">
        <f t="shared" si="188"/>
        <v>6556</v>
      </c>
      <c r="O143" s="92">
        <v>1813.7707</v>
      </c>
      <c r="P143" s="9">
        <f>6407.5-O143+500+226.8</f>
        <v>5320.5293000000001</v>
      </c>
      <c r="Q143" s="93">
        <f t="shared" si="189"/>
        <v>7134.3</v>
      </c>
      <c r="R143" s="10">
        <v>1889.9490499999999</v>
      </c>
      <c r="S143" s="9">
        <f>8726.8-R143-400.05+500+275.5</f>
        <v>7212.3009499999989</v>
      </c>
      <c r="T143" s="3">
        <f t="shared" si="190"/>
        <v>9102.2499999999982</v>
      </c>
      <c r="U143" s="86">
        <f t="shared" si="191"/>
        <v>28786.711499999998</v>
      </c>
      <c r="V143" s="72">
        <f t="shared" si="191"/>
        <v>38693.899999999994</v>
      </c>
      <c r="W143" s="148" t="s">
        <v>128</v>
      </c>
    </row>
    <row r="144" spans="1:29" ht="45.75" customHeight="1" x14ac:dyDescent="0.2">
      <c r="A144" s="254"/>
      <c r="B144" s="248" t="s">
        <v>179</v>
      </c>
      <c r="C144" s="92"/>
      <c r="D144" s="237">
        <f>400+500</f>
        <v>900</v>
      </c>
      <c r="E144" s="93">
        <f>C144+D144</f>
        <v>900</v>
      </c>
      <c r="F144" s="10"/>
      <c r="G144" s="9">
        <f>2160+1000</f>
        <v>3160</v>
      </c>
      <c r="H144" s="3">
        <f>F144+G144</f>
        <v>3160</v>
      </c>
      <c r="I144" s="92"/>
      <c r="J144" s="9">
        <f>3040+1500</f>
        <v>4540</v>
      </c>
      <c r="K144" s="93">
        <f>I144+J144</f>
        <v>4540</v>
      </c>
      <c r="L144" s="10"/>
      <c r="M144" s="9">
        <f>3760+2500</f>
        <v>6260</v>
      </c>
      <c r="N144" s="3">
        <f t="shared" si="188"/>
        <v>6260</v>
      </c>
      <c r="O144" s="92"/>
      <c r="P144" s="9">
        <f>4400+2500</f>
        <v>6900</v>
      </c>
      <c r="Q144" s="93">
        <f t="shared" si="189"/>
        <v>6900</v>
      </c>
      <c r="R144" s="10"/>
      <c r="S144" s="9">
        <f>4880+2500</f>
        <v>7380</v>
      </c>
      <c r="T144" s="3">
        <f t="shared" si="190"/>
        <v>7380</v>
      </c>
      <c r="U144" s="86">
        <f t="shared" si="191"/>
        <v>29140</v>
      </c>
      <c r="V144" s="72">
        <f t="shared" si="191"/>
        <v>29140</v>
      </c>
      <c r="W144" s="78"/>
    </row>
    <row r="145" spans="1:26" ht="25.5" hidden="1" x14ac:dyDescent="0.2">
      <c r="A145" s="84">
        <v>32</v>
      </c>
      <c r="B145" s="127" t="s">
        <v>148</v>
      </c>
      <c r="C145" s="92"/>
      <c r="D145" s="9"/>
      <c r="E145" s="93"/>
      <c r="F145" s="10"/>
      <c r="G145" s="9"/>
      <c r="H145" s="3"/>
      <c r="I145" s="92"/>
      <c r="J145" s="9"/>
      <c r="K145" s="93"/>
      <c r="L145" s="10"/>
      <c r="M145" s="9"/>
      <c r="N145" s="3"/>
      <c r="O145" s="92"/>
      <c r="P145" s="9"/>
      <c r="Q145" s="93"/>
      <c r="R145" s="10"/>
      <c r="S145" s="9"/>
      <c r="T145" s="3"/>
      <c r="U145" s="86">
        <f t="shared" si="191"/>
        <v>0</v>
      </c>
      <c r="V145" s="72">
        <f t="shared" si="191"/>
        <v>0</v>
      </c>
      <c r="W145" s="78"/>
    </row>
    <row r="146" spans="1:26" ht="38.25" x14ac:dyDescent="0.2">
      <c r="A146" s="254">
        <v>32</v>
      </c>
      <c r="B146" s="249" t="s">
        <v>181</v>
      </c>
      <c r="C146" s="45">
        <f>C148</f>
        <v>0</v>
      </c>
      <c r="D146" s="1">
        <f>D148</f>
        <v>1000</v>
      </c>
      <c r="E146" s="93">
        <f>C146+D146</f>
        <v>1000</v>
      </c>
      <c r="F146" s="2">
        <f>F148</f>
        <v>0</v>
      </c>
      <c r="G146" s="1">
        <f>G148</f>
        <v>2000</v>
      </c>
      <c r="H146" s="3">
        <f>F146+G146</f>
        <v>2000</v>
      </c>
      <c r="I146" s="45">
        <f>I148</f>
        <v>0</v>
      </c>
      <c r="J146" s="1">
        <f>J148</f>
        <v>3000</v>
      </c>
      <c r="K146" s="93">
        <f>I146+J146</f>
        <v>3000</v>
      </c>
      <c r="L146" s="2">
        <f>L148</f>
        <v>0</v>
      </c>
      <c r="M146" s="1">
        <f>M148</f>
        <v>3000</v>
      </c>
      <c r="N146" s="3">
        <f t="shared" ref="N146" si="192">L146+M146</f>
        <v>3000</v>
      </c>
      <c r="O146" s="45">
        <f>O148</f>
        <v>0</v>
      </c>
      <c r="P146" s="1">
        <f>P148</f>
        <v>3000</v>
      </c>
      <c r="Q146" s="93">
        <f t="shared" ref="Q146" si="193">O146+P146</f>
        <v>3000</v>
      </c>
      <c r="R146" s="2">
        <f>R148</f>
        <v>0</v>
      </c>
      <c r="S146" s="1">
        <f>S148</f>
        <v>3000</v>
      </c>
      <c r="T146" s="3">
        <f t="shared" ref="T146" si="194">R146+S146</f>
        <v>3000</v>
      </c>
      <c r="U146" s="86">
        <f t="shared" si="191"/>
        <v>15000</v>
      </c>
      <c r="V146" s="72">
        <f t="shared" si="191"/>
        <v>15000</v>
      </c>
      <c r="W146" s="78"/>
    </row>
    <row r="147" spans="1:26" x14ac:dyDescent="0.2">
      <c r="A147" s="254"/>
      <c r="B147" s="129" t="s">
        <v>2</v>
      </c>
      <c r="C147" s="45"/>
      <c r="D147" s="1"/>
      <c r="E147" s="93"/>
      <c r="F147" s="2"/>
      <c r="G147" s="1"/>
      <c r="H147" s="3"/>
      <c r="I147" s="45"/>
      <c r="J147" s="1"/>
      <c r="K147" s="93"/>
      <c r="L147" s="2"/>
      <c r="M147" s="1"/>
      <c r="N147" s="3"/>
      <c r="O147" s="45"/>
      <c r="P147" s="1"/>
      <c r="Q147" s="93"/>
      <c r="R147" s="2"/>
      <c r="S147" s="1"/>
      <c r="T147" s="3"/>
      <c r="U147" s="86">
        <f t="shared" si="191"/>
        <v>0</v>
      </c>
      <c r="V147" s="72">
        <f t="shared" si="191"/>
        <v>0</v>
      </c>
      <c r="W147" s="78"/>
    </row>
    <row r="148" spans="1:26" ht="51" customHeight="1" thickBot="1" x14ac:dyDescent="0.25">
      <c r="A148" s="277"/>
      <c r="B148" s="250" t="s">
        <v>180</v>
      </c>
      <c r="C148" s="104"/>
      <c r="D148" s="240">
        <f>1000</f>
        <v>1000</v>
      </c>
      <c r="E148" s="146">
        <f>C148+D148</f>
        <v>1000</v>
      </c>
      <c r="F148" s="60"/>
      <c r="G148" s="58">
        <v>2000</v>
      </c>
      <c r="H148" s="117">
        <f>F148+G148</f>
        <v>2000</v>
      </c>
      <c r="I148" s="104"/>
      <c r="J148" s="58">
        <v>3000</v>
      </c>
      <c r="K148" s="146">
        <f>I148+J148</f>
        <v>3000</v>
      </c>
      <c r="L148" s="60"/>
      <c r="M148" s="58">
        <v>3000</v>
      </c>
      <c r="N148" s="117">
        <f t="shared" si="188"/>
        <v>3000</v>
      </c>
      <c r="O148" s="104"/>
      <c r="P148" s="58">
        <v>3000</v>
      </c>
      <c r="Q148" s="146">
        <f t="shared" si="189"/>
        <v>3000</v>
      </c>
      <c r="R148" s="60"/>
      <c r="S148" s="58">
        <v>3000</v>
      </c>
      <c r="T148" s="117">
        <f t="shared" si="190"/>
        <v>3000</v>
      </c>
      <c r="U148" s="212">
        <f t="shared" si="191"/>
        <v>15000</v>
      </c>
      <c r="V148" s="213">
        <f t="shared" si="191"/>
        <v>15000</v>
      </c>
      <c r="W148" s="152"/>
      <c r="X148" s="17" t="s">
        <v>151</v>
      </c>
    </row>
    <row r="149" spans="1:26" ht="18.75" customHeight="1" thickBot="1" x14ac:dyDescent="0.25">
      <c r="A149" s="259" t="s">
        <v>43</v>
      </c>
      <c r="B149" s="260"/>
      <c r="C149" s="260"/>
      <c r="D149" s="260"/>
      <c r="E149" s="260"/>
      <c r="F149" s="260"/>
      <c r="G149" s="260"/>
      <c r="H149" s="260"/>
      <c r="I149" s="260"/>
      <c r="J149" s="260"/>
      <c r="K149" s="260"/>
      <c r="L149" s="260"/>
      <c r="M149" s="260"/>
      <c r="N149" s="260"/>
      <c r="O149" s="260"/>
      <c r="P149" s="260"/>
      <c r="Q149" s="260"/>
      <c r="R149" s="260"/>
      <c r="S149" s="260"/>
      <c r="T149" s="260"/>
      <c r="U149" s="260"/>
      <c r="V149" s="260"/>
      <c r="W149" s="261"/>
      <c r="X149" s="119"/>
      <c r="Y149" s="119"/>
      <c r="Z149" s="119"/>
    </row>
    <row r="150" spans="1:26" ht="13.5" thickBot="1" x14ac:dyDescent="0.25">
      <c r="A150" s="156"/>
      <c r="B150" s="49" t="s">
        <v>88</v>
      </c>
      <c r="C150" s="50">
        <f>C151+C155+C158+C161+C162</f>
        <v>9424</v>
      </c>
      <c r="D150" s="51">
        <f>D151+D155+D158+D161+D162</f>
        <v>6400</v>
      </c>
      <c r="E150" s="52">
        <f>C150+D150</f>
        <v>15824</v>
      </c>
      <c r="F150" s="51">
        <f>F151+F155+F158+F161+F162</f>
        <v>9235.52</v>
      </c>
      <c r="G150" s="51">
        <f>G151+G155+G158+G161+G162</f>
        <v>6060.3799999999992</v>
      </c>
      <c r="H150" s="52">
        <f t="shared" ref="H150:H162" si="195">F150+G150</f>
        <v>15295.9</v>
      </c>
      <c r="I150" s="51">
        <f>I151+I155+I158+I161+I162</f>
        <v>10563.617299999998</v>
      </c>
      <c r="J150" s="51">
        <f>J151+J155+J158+J161+J162</f>
        <v>6847.9423000000006</v>
      </c>
      <c r="K150" s="52">
        <f t="shared" ref="K150:K162" si="196">I150+J150</f>
        <v>17411.559600000001</v>
      </c>
      <c r="L150" s="55">
        <f>L151+L155+L158+L161+L162</f>
        <v>11280.011100000002</v>
      </c>
      <c r="M150" s="51">
        <f>M151+M155+M158+M161+M162</f>
        <v>5459.4246000000003</v>
      </c>
      <c r="N150" s="52">
        <f>L150+M150</f>
        <v>16739.435700000002</v>
      </c>
      <c r="O150" s="55">
        <f>O151+O155+O158+O161+O162</f>
        <v>11776.3316</v>
      </c>
      <c r="P150" s="51">
        <f>P151+P155+P158+P161+P162</f>
        <v>5878.8672999999999</v>
      </c>
      <c r="Q150" s="52">
        <f>O150+P150</f>
        <v>17655.198899999999</v>
      </c>
      <c r="R150" s="55">
        <f>R151+R155+R158+R161+R162</f>
        <v>12270.937599999999</v>
      </c>
      <c r="S150" s="51">
        <f>S151+S155+S158+S161+S162</f>
        <v>5838.2222999999994</v>
      </c>
      <c r="T150" s="53">
        <f>R150+S150</f>
        <v>18109.159899999999</v>
      </c>
      <c r="U150" s="54">
        <f t="shared" ref="U150:U161" si="197">D150+G150+J150+M150+P150+S150</f>
        <v>36484.836499999998</v>
      </c>
      <c r="V150" s="79">
        <f t="shared" ref="V150:V161" si="198">E150+H150++K150+N150+Q150+T150</f>
        <v>101035.25410000001</v>
      </c>
      <c r="W150" s="149"/>
      <c r="X150" s="119"/>
      <c r="Y150" s="119"/>
      <c r="Z150" s="119"/>
    </row>
    <row r="151" spans="1:26" ht="27.75" customHeight="1" x14ac:dyDescent="0.2">
      <c r="A151" s="254">
        <v>34</v>
      </c>
      <c r="B151" s="62" t="s">
        <v>45</v>
      </c>
      <c r="C151" s="63">
        <f>C153</f>
        <v>5985</v>
      </c>
      <c r="D151" s="70">
        <f>D154</f>
        <v>0</v>
      </c>
      <c r="E151" s="71">
        <f t="shared" ref="E151:E162" si="199">C151+D151</f>
        <v>5985</v>
      </c>
      <c r="F151" s="70">
        <f t="shared" ref="F151:I151" si="200">F153</f>
        <v>5865.3</v>
      </c>
      <c r="G151" s="70">
        <f>G153+G152</f>
        <v>119.69999999999982</v>
      </c>
      <c r="H151" s="71">
        <f t="shared" si="195"/>
        <v>5985</v>
      </c>
      <c r="I151" s="70">
        <f t="shared" si="200"/>
        <v>6790.8967999999995</v>
      </c>
      <c r="J151" s="70">
        <f>J153+J152</f>
        <v>135.02080000000024</v>
      </c>
      <c r="K151" s="71">
        <f t="shared" si="196"/>
        <v>6925.9175999999998</v>
      </c>
      <c r="L151" s="69">
        <f t="shared" ref="L151" si="201">L153</f>
        <v>7251.4357</v>
      </c>
      <c r="M151" s="70">
        <f>M154</f>
        <v>0</v>
      </c>
      <c r="N151" s="71">
        <f t="shared" ref="N151:N162" si="202">L151+M151</f>
        <v>7251.4357</v>
      </c>
      <c r="O151" s="69">
        <f t="shared" ref="O151" si="203">O153</f>
        <v>7570.4988999999996</v>
      </c>
      <c r="P151" s="70">
        <f>P154</f>
        <v>0</v>
      </c>
      <c r="Q151" s="71">
        <f t="shared" ref="Q151:Q162" si="204">O151+P151</f>
        <v>7570.4988999999996</v>
      </c>
      <c r="R151" s="69">
        <f t="shared" ref="R151" si="205">R153</f>
        <v>7888.4598999999998</v>
      </c>
      <c r="S151" s="70">
        <f>S154</f>
        <v>0</v>
      </c>
      <c r="T151" s="150">
        <f t="shared" ref="T151:T162" si="206">R151+S151</f>
        <v>7888.4598999999998</v>
      </c>
      <c r="U151" s="42">
        <f t="shared" si="197"/>
        <v>254.72080000000005</v>
      </c>
      <c r="V151" s="43">
        <f t="shared" si="198"/>
        <v>41606.312100000003</v>
      </c>
      <c r="W151" s="151"/>
    </row>
    <row r="152" spans="1:26" x14ac:dyDescent="0.2">
      <c r="A152" s="254"/>
      <c r="B152" s="129" t="s">
        <v>2</v>
      </c>
      <c r="C152" s="92"/>
      <c r="D152" s="9"/>
      <c r="E152" s="11">
        <f t="shared" si="199"/>
        <v>0</v>
      </c>
      <c r="F152" s="9"/>
      <c r="G152" s="9"/>
      <c r="H152" s="11">
        <f t="shared" si="195"/>
        <v>0</v>
      </c>
      <c r="I152" s="9"/>
      <c r="J152" s="9"/>
      <c r="K152" s="11">
        <f t="shared" si="196"/>
        <v>0</v>
      </c>
      <c r="L152" s="10"/>
      <c r="M152" s="9"/>
      <c r="N152" s="11">
        <f t="shared" si="202"/>
        <v>0</v>
      </c>
      <c r="O152" s="10"/>
      <c r="P152" s="9"/>
      <c r="Q152" s="11">
        <f t="shared" si="204"/>
        <v>0</v>
      </c>
      <c r="R152" s="10"/>
      <c r="S152" s="9"/>
      <c r="T152" s="74">
        <f t="shared" si="206"/>
        <v>0</v>
      </c>
      <c r="U152" s="10">
        <f t="shared" si="197"/>
        <v>0</v>
      </c>
      <c r="V152" s="11">
        <f t="shared" si="198"/>
        <v>0</v>
      </c>
      <c r="W152" s="78"/>
    </row>
    <row r="153" spans="1:26" ht="25.5" x14ac:dyDescent="0.2">
      <c r="A153" s="254"/>
      <c r="B153" s="130" t="s">
        <v>46</v>
      </c>
      <c r="C153" s="92">
        <v>5985</v>
      </c>
      <c r="D153" s="9"/>
      <c r="E153" s="11">
        <f t="shared" si="199"/>
        <v>5985</v>
      </c>
      <c r="F153" s="9">
        <v>5865.3</v>
      </c>
      <c r="G153" s="9">
        <v>119.69999999999982</v>
      </c>
      <c r="H153" s="11">
        <f t="shared" si="195"/>
        <v>5985</v>
      </c>
      <c r="I153" s="9">
        <v>6790.8967999999995</v>
      </c>
      <c r="J153" s="9">
        <v>135.02080000000024</v>
      </c>
      <c r="K153" s="11">
        <f t="shared" si="196"/>
        <v>6925.9175999999998</v>
      </c>
      <c r="L153" s="10">
        <v>7251.4357</v>
      </c>
      <c r="M153" s="9"/>
      <c r="N153" s="11">
        <f t="shared" si="202"/>
        <v>7251.4357</v>
      </c>
      <c r="O153" s="10">
        <v>7570.4988999999996</v>
      </c>
      <c r="P153" s="9"/>
      <c r="Q153" s="11">
        <f t="shared" si="204"/>
        <v>7570.4988999999996</v>
      </c>
      <c r="R153" s="10">
        <v>7888.4598999999998</v>
      </c>
      <c r="S153" s="9"/>
      <c r="T153" s="74">
        <f t="shared" si="206"/>
        <v>7888.4598999999998</v>
      </c>
      <c r="U153" s="10">
        <f t="shared" si="197"/>
        <v>254.72080000000005</v>
      </c>
      <c r="V153" s="11">
        <f t="shared" si="198"/>
        <v>41606.312100000003</v>
      </c>
      <c r="W153" s="78"/>
    </row>
    <row r="154" spans="1:26" hidden="1" x14ac:dyDescent="0.2">
      <c r="A154" s="254"/>
      <c r="B154" s="130" t="s">
        <v>78</v>
      </c>
      <c r="C154" s="92"/>
      <c r="D154" s="9"/>
      <c r="E154" s="11">
        <f t="shared" si="199"/>
        <v>0</v>
      </c>
      <c r="F154" s="9"/>
      <c r="G154" s="9"/>
      <c r="H154" s="11">
        <f t="shared" si="195"/>
        <v>0</v>
      </c>
      <c r="I154" s="9"/>
      <c r="J154" s="9"/>
      <c r="K154" s="11">
        <f t="shared" si="196"/>
        <v>0</v>
      </c>
      <c r="L154" s="10"/>
      <c r="M154" s="9"/>
      <c r="N154" s="11">
        <f t="shared" si="202"/>
        <v>0</v>
      </c>
      <c r="O154" s="10"/>
      <c r="P154" s="9"/>
      <c r="Q154" s="11">
        <f t="shared" si="204"/>
        <v>0</v>
      </c>
      <c r="R154" s="10"/>
      <c r="S154" s="9"/>
      <c r="T154" s="74">
        <f t="shared" si="206"/>
        <v>0</v>
      </c>
      <c r="U154" s="10">
        <f t="shared" si="197"/>
        <v>0</v>
      </c>
      <c r="V154" s="11">
        <f t="shared" si="198"/>
        <v>0</v>
      </c>
      <c r="W154" s="78"/>
    </row>
    <row r="155" spans="1:26" ht="25.5" x14ac:dyDescent="0.2">
      <c r="A155" s="254">
        <v>35</v>
      </c>
      <c r="B155" s="127" t="s">
        <v>47</v>
      </c>
      <c r="C155" s="45">
        <f>C157</f>
        <v>114</v>
      </c>
      <c r="D155" s="1">
        <f t="shared" ref="D155:J155" si="207">D157</f>
        <v>0</v>
      </c>
      <c r="E155" s="3">
        <f t="shared" si="199"/>
        <v>114</v>
      </c>
      <c r="F155" s="1">
        <f t="shared" si="207"/>
        <v>111.72</v>
      </c>
      <c r="G155" s="1">
        <f t="shared" si="207"/>
        <v>2.2800000000000011</v>
      </c>
      <c r="H155" s="3">
        <f t="shared" si="195"/>
        <v>114</v>
      </c>
      <c r="I155" s="1">
        <f t="shared" si="207"/>
        <v>0</v>
      </c>
      <c r="J155" s="1">
        <f t="shared" si="207"/>
        <v>0</v>
      </c>
      <c r="K155" s="3">
        <f t="shared" si="196"/>
        <v>0</v>
      </c>
      <c r="L155" s="2">
        <f t="shared" ref="L155:M155" si="208">L157</f>
        <v>0</v>
      </c>
      <c r="M155" s="1">
        <f t="shared" si="208"/>
        <v>0</v>
      </c>
      <c r="N155" s="3">
        <f t="shared" si="202"/>
        <v>0</v>
      </c>
      <c r="O155" s="2">
        <f t="shared" ref="O155:P155" si="209">O157</f>
        <v>0</v>
      </c>
      <c r="P155" s="1">
        <f t="shared" si="209"/>
        <v>0</v>
      </c>
      <c r="Q155" s="3">
        <f t="shared" si="204"/>
        <v>0</v>
      </c>
      <c r="R155" s="2">
        <f t="shared" ref="R155:S155" si="210">R157</f>
        <v>0</v>
      </c>
      <c r="S155" s="1">
        <f t="shared" si="210"/>
        <v>0</v>
      </c>
      <c r="T155" s="93">
        <f t="shared" si="206"/>
        <v>0</v>
      </c>
      <c r="U155" s="10">
        <f t="shared" si="197"/>
        <v>2.2800000000000011</v>
      </c>
      <c r="V155" s="11">
        <f t="shared" si="198"/>
        <v>228</v>
      </c>
      <c r="W155" s="78"/>
    </row>
    <row r="156" spans="1:26" x14ac:dyDescent="0.2">
      <c r="A156" s="254"/>
      <c r="B156" s="129" t="s">
        <v>2</v>
      </c>
      <c r="C156" s="92"/>
      <c r="D156" s="9"/>
      <c r="E156" s="11">
        <f t="shared" si="199"/>
        <v>0</v>
      </c>
      <c r="F156" s="9"/>
      <c r="G156" s="9"/>
      <c r="H156" s="11">
        <f t="shared" si="195"/>
        <v>0</v>
      </c>
      <c r="I156" s="9"/>
      <c r="J156" s="9"/>
      <c r="K156" s="11">
        <f t="shared" si="196"/>
        <v>0</v>
      </c>
      <c r="L156" s="10"/>
      <c r="M156" s="9"/>
      <c r="N156" s="11">
        <f t="shared" si="202"/>
        <v>0</v>
      </c>
      <c r="O156" s="10"/>
      <c r="P156" s="9"/>
      <c r="Q156" s="11">
        <f t="shared" si="204"/>
        <v>0</v>
      </c>
      <c r="R156" s="10"/>
      <c r="S156" s="9"/>
      <c r="T156" s="74">
        <f t="shared" si="206"/>
        <v>0</v>
      </c>
      <c r="U156" s="10">
        <f t="shared" si="197"/>
        <v>0</v>
      </c>
      <c r="V156" s="11">
        <f t="shared" si="198"/>
        <v>0</v>
      </c>
      <c r="W156" s="78"/>
    </row>
    <row r="157" spans="1:26" ht="38.25" x14ac:dyDescent="0.2">
      <c r="A157" s="254"/>
      <c r="B157" s="130" t="s">
        <v>48</v>
      </c>
      <c r="C157" s="92">
        <v>114</v>
      </c>
      <c r="D157" s="9"/>
      <c r="E157" s="11">
        <f t="shared" si="199"/>
        <v>114</v>
      </c>
      <c r="F157" s="9">
        <v>111.72</v>
      </c>
      <c r="G157" s="9">
        <v>2.2800000000000011</v>
      </c>
      <c r="H157" s="11">
        <f t="shared" si="195"/>
        <v>114</v>
      </c>
      <c r="I157" s="9"/>
      <c r="J157" s="9"/>
      <c r="K157" s="11">
        <f t="shared" si="196"/>
        <v>0</v>
      </c>
      <c r="L157" s="10"/>
      <c r="M157" s="9"/>
      <c r="N157" s="11">
        <f t="shared" si="202"/>
        <v>0</v>
      </c>
      <c r="O157" s="10"/>
      <c r="P157" s="9"/>
      <c r="Q157" s="11">
        <f t="shared" si="204"/>
        <v>0</v>
      </c>
      <c r="R157" s="10"/>
      <c r="S157" s="9"/>
      <c r="T157" s="74">
        <f t="shared" si="206"/>
        <v>0</v>
      </c>
      <c r="U157" s="10">
        <f t="shared" si="197"/>
        <v>2.2800000000000011</v>
      </c>
      <c r="V157" s="11">
        <f t="shared" si="198"/>
        <v>228</v>
      </c>
      <c r="W157" s="78"/>
    </row>
    <row r="158" spans="1:26" ht="34.5" customHeight="1" x14ac:dyDescent="0.2">
      <c r="A158" s="254">
        <v>36</v>
      </c>
      <c r="B158" s="127" t="s">
        <v>83</v>
      </c>
      <c r="C158" s="45">
        <f>C160</f>
        <v>1900</v>
      </c>
      <c r="D158" s="1">
        <f t="shared" ref="D158:J158" si="211">D160</f>
        <v>2950</v>
      </c>
      <c r="E158" s="3">
        <f t="shared" si="199"/>
        <v>4850</v>
      </c>
      <c r="F158" s="1">
        <f t="shared" si="211"/>
        <v>1862</v>
      </c>
      <c r="G158" s="1">
        <f t="shared" si="211"/>
        <v>2473.8999999999996</v>
      </c>
      <c r="H158" s="3">
        <f t="shared" si="195"/>
        <v>4335.8999999999996</v>
      </c>
      <c r="I158" s="1">
        <f t="shared" si="211"/>
        <v>2155.8402999999998</v>
      </c>
      <c r="J158" s="1">
        <f t="shared" si="211"/>
        <v>2861.8237000000008</v>
      </c>
      <c r="K158" s="3">
        <f t="shared" si="196"/>
        <v>5017.6640000000007</v>
      </c>
      <c r="L158" s="2">
        <v>2302.0430999999999</v>
      </c>
      <c r="M158" s="1">
        <v>2229.6569</v>
      </c>
      <c r="N158" s="3">
        <f t="shared" si="202"/>
        <v>4531.7</v>
      </c>
      <c r="O158" s="2">
        <v>2403.3330000000001</v>
      </c>
      <c r="P158" s="1">
        <v>2439.3670000000002</v>
      </c>
      <c r="Q158" s="3">
        <f t="shared" si="204"/>
        <v>4842.7000000000007</v>
      </c>
      <c r="R158" s="2">
        <v>2504.2730000000001</v>
      </c>
      <c r="S158" s="1">
        <v>2419.127</v>
      </c>
      <c r="T158" s="93">
        <f t="shared" si="206"/>
        <v>4923.3999999999996</v>
      </c>
      <c r="U158" s="10">
        <f t="shared" si="197"/>
        <v>15373.874600000001</v>
      </c>
      <c r="V158" s="11">
        <f t="shared" si="198"/>
        <v>28501.364000000001</v>
      </c>
      <c r="W158" s="148"/>
    </row>
    <row r="159" spans="1:26" x14ac:dyDescent="0.2">
      <c r="A159" s="254"/>
      <c r="B159" s="129" t="s">
        <v>2</v>
      </c>
      <c r="C159" s="92"/>
      <c r="D159" s="9"/>
      <c r="E159" s="11">
        <f t="shared" si="199"/>
        <v>0</v>
      </c>
      <c r="F159" s="9"/>
      <c r="G159" s="9"/>
      <c r="H159" s="11">
        <f t="shared" si="195"/>
        <v>0</v>
      </c>
      <c r="I159" s="9"/>
      <c r="J159" s="9"/>
      <c r="K159" s="11">
        <f t="shared" si="196"/>
        <v>0</v>
      </c>
      <c r="L159" s="10"/>
      <c r="M159" s="9"/>
      <c r="N159" s="11">
        <f t="shared" si="202"/>
        <v>0</v>
      </c>
      <c r="O159" s="10"/>
      <c r="P159" s="9"/>
      <c r="Q159" s="11">
        <f t="shared" si="204"/>
        <v>0</v>
      </c>
      <c r="R159" s="10"/>
      <c r="S159" s="9"/>
      <c r="T159" s="74">
        <f t="shared" si="206"/>
        <v>0</v>
      </c>
      <c r="U159" s="10">
        <f t="shared" si="197"/>
        <v>0</v>
      </c>
      <c r="V159" s="11">
        <f t="shared" si="198"/>
        <v>0</v>
      </c>
      <c r="W159" s="78"/>
    </row>
    <row r="160" spans="1:26" ht="25.5" x14ac:dyDescent="0.2">
      <c r="A160" s="254"/>
      <c r="B160" s="130" t="s">
        <v>44</v>
      </c>
      <c r="C160" s="92">
        <v>1900</v>
      </c>
      <c r="D160" s="9">
        <v>2950</v>
      </c>
      <c r="E160" s="11">
        <f t="shared" si="199"/>
        <v>4850</v>
      </c>
      <c r="F160" s="9">
        <v>1862</v>
      </c>
      <c r="G160" s="9">
        <v>2473.8999999999996</v>
      </c>
      <c r="H160" s="11">
        <f t="shared" si="195"/>
        <v>4335.8999999999996</v>
      </c>
      <c r="I160" s="9">
        <v>2155.8402999999998</v>
      </c>
      <c r="J160" s="9">
        <v>2861.8237000000008</v>
      </c>
      <c r="K160" s="11">
        <f t="shared" si="196"/>
        <v>5017.6640000000007</v>
      </c>
      <c r="L160" s="2">
        <v>2302.0430999999999</v>
      </c>
      <c r="M160" s="1">
        <v>2229.6569</v>
      </c>
      <c r="N160" s="11">
        <f t="shared" si="202"/>
        <v>4531.7</v>
      </c>
      <c r="O160" s="2">
        <v>2403.3330000000001</v>
      </c>
      <c r="P160" s="1">
        <v>2439.3670000000002</v>
      </c>
      <c r="Q160" s="11">
        <f t="shared" si="204"/>
        <v>4842.7000000000007</v>
      </c>
      <c r="R160" s="2">
        <v>2504.2730000000001</v>
      </c>
      <c r="S160" s="1">
        <v>2419.127</v>
      </c>
      <c r="T160" s="74">
        <f t="shared" si="206"/>
        <v>4923.3999999999996</v>
      </c>
      <c r="U160" s="10">
        <f t="shared" si="197"/>
        <v>15373.874600000001</v>
      </c>
      <c r="V160" s="11">
        <f t="shared" si="198"/>
        <v>28501.364000000001</v>
      </c>
      <c r="W160" s="78"/>
    </row>
    <row r="161" spans="1:26" ht="35.25" customHeight="1" x14ac:dyDescent="0.2">
      <c r="A161" s="84">
        <v>37</v>
      </c>
      <c r="B161" s="127" t="s">
        <v>49</v>
      </c>
      <c r="C161" s="45">
        <v>1425</v>
      </c>
      <c r="D161" s="1">
        <v>2950</v>
      </c>
      <c r="E161" s="3">
        <f t="shared" si="199"/>
        <v>4375</v>
      </c>
      <c r="F161" s="1">
        <v>1396.5</v>
      </c>
      <c r="G161" s="1">
        <v>2464.5</v>
      </c>
      <c r="H161" s="3">
        <f t="shared" si="195"/>
        <v>3861</v>
      </c>
      <c r="I161" s="1">
        <v>1616.8802000000001</v>
      </c>
      <c r="J161" s="1">
        <v>2851.0978</v>
      </c>
      <c r="K161" s="3">
        <f t="shared" si="196"/>
        <v>4467.9780000000001</v>
      </c>
      <c r="L161" s="2">
        <v>1726.5323000000001</v>
      </c>
      <c r="M161" s="1">
        <v>2229.7676999999999</v>
      </c>
      <c r="N161" s="3">
        <f t="shared" si="202"/>
        <v>3956.3</v>
      </c>
      <c r="O161" s="2">
        <v>1802.4997000000001</v>
      </c>
      <c r="P161" s="1">
        <v>2439.5003000000002</v>
      </c>
      <c r="Q161" s="3">
        <f t="shared" si="204"/>
        <v>4242</v>
      </c>
      <c r="R161" s="2">
        <v>1878.2047</v>
      </c>
      <c r="S161" s="1">
        <v>2419.0953</v>
      </c>
      <c r="T161" s="93">
        <f t="shared" si="206"/>
        <v>4297.3</v>
      </c>
      <c r="U161" s="10">
        <f t="shared" si="197"/>
        <v>15353.9611</v>
      </c>
      <c r="V161" s="11">
        <f t="shared" si="198"/>
        <v>25199.577999999998</v>
      </c>
      <c r="W161" s="148"/>
    </row>
    <row r="162" spans="1:26" ht="26.25" thickBot="1" x14ac:dyDescent="0.25">
      <c r="A162" s="141">
        <v>38</v>
      </c>
      <c r="B162" s="142" t="s">
        <v>79</v>
      </c>
      <c r="C162" s="104"/>
      <c r="D162" s="58">
        <v>500</v>
      </c>
      <c r="E162" s="59">
        <f t="shared" si="199"/>
        <v>500</v>
      </c>
      <c r="F162" s="58"/>
      <c r="G162" s="58">
        <v>1000</v>
      </c>
      <c r="H162" s="59">
        <f t="shared" si="195"/>
        <v>1000</v>
      </c>
      <c r="I162" s="58"/>
      <c r="J162" s="58">
        <v>1000</v>
      </c>
      <c r="K162" s="59">
        <f t="shared" si="196"/>
        <v>1000</v>
      </c>
      <c r="L162" s="60"/>
      <c r="M162" s="58">
        <v>1000</v>
      </c>
      <c r="N162" s="59">
        <f t="shared" si="202"/>
        <v>1000</v>
      </c>
      <c r="O162" s="60"/>
      <c r="P162" s="58">
        <v>1000</v>
      </c>
      <c r="Q162" s="59">
        <f t="shared" si="204"/>
        <v>1000</v>
      </c>
      <c r="R162" s="60"/>
      <c r="S162" s="58">
        <v>1000</v>
      </c>
      <c r="T162" s="118">
        <f t="shared" si="206"/>
        <v>1000</v>
      </c>
      <c r="U162" s="60">
        <f>D162+G162+J162+M162+P162+S162</f>
        <v>5500</v>
      </c>
      <c r="V162" s="59">
        <f>E162+H162++K162+N162+Q162+T162</f>
        <v>5500</v>
      </c>
      <c r="W162" s="152"/>
    </row>
    <row r="163" spans="1:26" ht="15.75" customHeight="1" thickBot="1" x14ac:dyDescent="0.25">
      <c r="A163" s="259" t="s">
        <v>50</v>
      </c>
      <c r="B163" s="260"/>
      <c r="C163" s="260"/>
      <c r="D163" s="260"/>
      <c r="E163" s="260"/>
      <c r="F163" s="260"/>
      <c r="G163" s="260"/>
      <c r="H163" s="260"/>
      <c r="I163" s="260"/>
      <c r="J163" s="260"/>
      <c r="K163" s="260"/>
      <c r="L163" s="260"/>
      <c r="M163" s="260"/>
      <c r="N163" s="260"/>
      <c r="O163" s="260"/>
      <c r="P163" s="260"/>
      <c r="Q163" s="260"/>
      <c r="R163" s="260"/>
      <c r="S163" s="260"/>
      <c r="T163" s="260"/>
      <c r="U163" s="260"/>
      <c r="V163" s="260"/>
      <c r="W163" s="261"/>
      <c r="X163" s="119"/>
      <c r="Y163" s="119"/>
      <c r="Z163" s="119"/>
    </row>
    <row r="164" spans="1:26" ht="13.5" thickBot="1" x14ac:dyDescent="0.25">
      <c r="A164" s="84"/>
      <c r="B164" s="49" t="s">
        <v>88</v>
      </c>
      <c r="C164" s="50">
        <f>SUM(C167,C172,C176,C179)</f>
        <v>3144.5</v>
      </c>
      <c r="D164" s="51">
        <f>SUM(D167,D172,D176,D179)</f>
        <v>8726.9</v>
      </c>
      <c r="E164" s="53">
        <f>SUM(C164:D164)</f>
        <v>11871.4</v>
      </c>
      <c r="F164" s="55">
        <f t="shared" ref="F164:G164" si="212">SUM(F167,F172,F176,F179)</f>
        <v>3081.61</v>
      </c>
      <c r="G164" s="51">
        <f t="shared" si="212"/>
        <v>9111.39</v>
      </c>
      <c r="H164" s="52">
        <f>SUM(F164:G164)</f>
        <v>12193</v>
      </c>
      <c r="I164" s="50">
        <f t="shared" ref="I164:J164" si="213">SUM(I167,I172,I176,I179)</f>
        <v>3157.5012999999999</v>
      </c>
      <c r="J164" s="51">
        <f t="shared" si="213"/>
        <v>8881.7893999999997</v>
      </c>
      <c r="K164" s="53">
        <f>SUM(I164:J164)</f>
        <v>12039.2907</v>
      </c>
      <c r="L164" s="55">
        <f t="shared" ref="L164:M164" si="214">SUM(L167,L172,L176,L179)</f>
        <v>3277.6338999999998</v>
      </c>
      <c r="M164" s="51">
        <f t="shared" si="214"/>
        <v>5900</v>
      </c>
      <c r="N164" s="52">
        <f>SUM(L164:M164)</f>
        <v>9177.6339000000007</v>
      </c>
      <c r="O164" s="50">
        <f t="shared" ref="O164:P164" si="215">SUM(O167,O172,O176,O179)</f>
        <v>3333.8498</v>
      </c>
      <c r="P164" s="51">
        <f t="shared" si="215"/>
        <v>6100</v>
      </c>
      <c r="Q164" s="53">
        <f>SUM(O164:P164)</f>
        <v>9433.8498</v>
      </c>
      <c r="R164" s="55">
        <f t="shared" ref="R164:S164" si="216">SUM(R167,R172,R176,R179)</f>
        <v>3389.8715000000002</v>
      </c>
      <c r="S164" s="51">
        <f t="shared" si="216"/>
        <v>6200</v>
      </c>
      <c r="T164" s="52">
        <f>SUM(R164:S164)</f>
        <v>9589.8715000000011</v>
      </c>
      <c r="U164" s="54">
        <f>D164+G164+J164+M164+P164+S164</f>
        <v>44920.079400000002</v>
      </c>
      <c r="V164" s="81">
        <f>E164+H164+K164+N164+Q164+T164</f>
        <v>64305.045900000005</v>
      </c>
      <c r="W164" s="153"/>
      <c r="X164" s="119"/>
      <c r="Y164" s="119"/>
      <c r="Z164" s="119"/>
    </row>
    <row r="165" spans="1:26" hidden="1" x14ac:dyDescent="0.2">
      <c r="A165" s="84"/>
      <c r="B165" s="47"/>
      <c r="C165" s="13"/>
      <c r="D165" s="14"/>
      <c r="E165" s="15"/>
      <c r="F165" s="28"/>
      <c r="G165" s="14"/>
      <c r="H165" s="29"/>
      <c r="I165" s="13"/>
      <c r="J165" s="14"/>
      <c r="K165" s="15"/>
      <c r="L165" s="28"/>
      <c r="M165" s="14"/>
      <c r="N165" s="29"/>
      <c r="O165" s="13"/>
      <c r="P165" s="14"/>
      <c r="Q165" s="15"/>
      <c r="R165" s="28"/>
      <c r="S165" s="14"/>
      <c r="T165" s="29"/>
      <c r="U165" s="42"/>
      <c r="V165" s="43"/>
      <c r="W165" s="154"/>
      <c r="X165" s="119"/>
      <c r="Y165" s="119"/>
      <c r="Z165" s="119"/>
    </row>
    <row r="166" spans="1:26" hidden="1" x14ac:dyDescent="0.2">
      <c r="A166" s="84"/>
      <c r="B166" s="48"/>
      <c r="C166" s="38"/>
      <c r="D166" s="18"/>
      <c r="E166" s="37"/>
      <c r="F166" s="24"/>
      <c r="G166" s="18"/>
      <c r="H166" s="25"/>
      <c r="I166" s="38"/>
      <c r="J166" s="18"/>
      <c r="K166" s="37"/>
      <c r="L166" s="24"/>
      <c r="M166" s="18"/>
      <c r="N166" s="25"/>
      <c r="O166" s="38"/>
      <c r="P166" s="18"/>
      <c r="Q166" s="37"/>
      <c r="R166" s="24"/>
      <c r="S166" s="18"/>
      <c r="T166" s="25"/>
      <c r="U166" s="10"/>
      <c r="V166" s="11"/>
      <c r="W166" s="155"/>
      <c r="X166" s="119"/>
      <c r="Y166" s="119"/>
      <c r="Z166" s="119"/>
    </row>
    <row r="167" spans="1:26" x14ac:dyDescent="0.2">
      <c r="A167" s="254">
        <v>39</v>
      </c>
      <c r="B167" s="127" t="s">
        <v>51</v>
      </c>
      <c r="C167" s="45">
        <f>SUM(C171,C170,C169)</f>
        <v>1900</v>
      </c>
      <c r="D167" s="1">
        <f>SUM(D171,D170,D169)</f>
        <v>7726.9</v>
      </c>
      <c r="E167" s="93">
        <f>SUM(E170:E171)</f>
        <v>9626.9</v>
      </c>
      <c r="F167" s="2">
        <f>SUM(F171,F170,F169)</f>
        <v>1862</v>
      </c>
      <c r="G167" s="1">
        <f>SUM(G171,G170,G169)</f>
        <v>8086.5</v>
      </c>
      <c r="H167" s="3">
        <f>SUM(H170:H171)</f>
        <v>9948.5</v>
      </c>
      <c r="I167" s="45">
        <f>SUM(I171,I170,I169)</f>
        <v>1961.01</v>
      </c>
      <c r="J167" s="1">
        <f>SUM(J171,J170,J169)</f>
        <v>7858</v>
      </c>
      <c r="K167" s="93">
        <f>SUM(K170:K171)</f>
        <v>9819.01</v>
      </c>
      <c r="L167" s="2">
        <f>SUM(L171,L170,L169)</f>
        <v>2000</v>
      </c>
      <c r="M167" s="1">
        <f>SUM(M171,M170,M169)</f>
        <v>4900</v>
      </c>
      <c r="N167" s="3">
        <f>SUM(N170:N171)</f>
        <v>6900</v>
      </c>
      <c r="O167" s="45">
        <f t="shared" ref="O167:P167" si="217">SUM(O171,O170,O169)</f>
        <v>2000</v>
      </c>
      <c r="P167" s="1">
        <f t="shared" si="217"/>
        <v>5100</v>
      </c>
      <c r="Q167" s="93">
        <f>SUM(Q170:Q171)</f>
        <v>7100</v>
      </c>
      <c r="R167" s="2">
        <f t="shared" ref="R167:S167" si="218">SUM(R171,R170,R169)</f>
        <v>2000</v>
      </c>
      <c r="S167" s="1">
        <f t="shared" si="218"/>
        <v>5200</v>
      </c>
      <c r="T167" s="3">
        <f>SUM(T170:T171)</f>
        <v>7200</v>
      </c>
      <c r="U167" s="10">
        <f>D167+G167+J167+M167+P167+S167</f>
        <v>38871.4</v>
      </c>
      <c r="V167" s="11">
        <f>E167+H167+K167+N167+Q167+T167</f>
        <v>50594.41</v>
      </c>
      <c r="W167" s="39"/>
    </row>
    <row r="168" spans="1:26" x14ac:dyDescent="0.2">
      <c r="A168" s="254"/>
      <c r="B168" s="129" t="s">
        <v>2</v>
      </c>
      <c r="C168" s="92"/>
      <c r="D168" s="9"/>
      <c r="E168" s="74">
        <f>C168+D168</f>
        <v>0</v>
      </c>
      <c r="F168" s="10"/>
      <c r="G168" s="9"/>
      <c r="H168" s="11">
        <f>F168+G168</f>
        <v>0</v>
      </c>
      <c r="I168" s="92"/>
      <c r="J168" s="9"/>
      <c r="K168" s="74">
        <f>I168+J168</f>
        <v>0</v>
      </c>
      <c r="L168" s="10"/>
      <c r="M168" s="9"/>
      <c r="N168" s="11">
        <f t="shared" ref="N168:N181" si="219">L168+M168</f>
        <v>0</v>
      </c>
      <c r="O168" s="92"/>
      <c r="P168" s="9"/>
      <c r="Q168" s="74">
        <f t="shared" ref="Q168:Q181" si="220">O168+P168</f>
        <v>0</v>
      </c>
      <c r="R168" s="10"/>
      <c r="S168" s="9"/>
      <c r="T168" s="11">
        <f t="shared" ref="T168:T181" si="221">R168+S168</f>
        <v>0</v>
      </c>
      <c r="U168" s="10">
        <f>D168+G168+J168+M168+P168+S168</f>
        <v>0</v>
      </c>
      <c r="V168" s="11">
        <f>E168+H168+K168+N168+Q168+T168</f>
        <v>0</v>
      </c>
      <c r="W168" s="39"/>
    </row>
    <row r="169" spans="1:26" ht="25.5" x14ac:dyDescent="0.2">
      <c r="A169" s="254"/>
      <c r="B169" s="130" t="s">
        <v>161</v>
      </c>
      <c r="C169" s="214">
        <v>0</v>
      </c>
      <c r="D169" s="215">
        <v>0</v>
      </c>
      <c r="E169" s="216">
        <v>0</v>
      </c>
      <c r="F169" s="217">
        <v>0</v>
      </c>
      <c r="G169" s="215">
        <v>0</v>
      </c>
      <c r="H169" s="218">
        <v>0</v>
      </c>
      <c r="I169" s="214">
        <v>0</v>
      </c>
      <c r="J169" s="215">
        <v>0</v>
      </c>
      <c r="K169" s="216">
        <v>0</v>
      </c>
      <c r="L169" s="217">
        <v>0</v>
      </c>
      <c r="M169" s="215">
        <v>0</v>
      </c>
      <c r="N169" s="218">
        <v>0</v>
      </c>
      <c r="O169" s="214">
        <v>0</v>
      </c>
      <c r="P169" s="215">
        <v>0</v>
      </c>
      <c r="Q169" s="216">
        <v>0</v>
      </c>
      <c r="R169" s="217">
        <v>0</v>
      </c>
      <c r="S169" s="215">
        <v>0</v>
      </c>
      <c r="T169" s="218">
        <v>0</v>
      </c>
      <c r="U169" s="217">
        <v>0</v>
      </c>
      <c r="V169" s="218">
        <v>0</v>
      </c>
      <c r="W169" s="39"/>
    </row>
    <row r="170" spans="1:26" x14ac:dyDescent="0.2">
      <c r="A170" s="254"/>
      <c r="B170" s="130" t="s">
        <v>52</v>
      </c>
      <c r="C170" s="92">
        <v>0</v>
      </c>
      <c r="D170" s="9">
        <v>1000</v>
      </c>
      <c r="E170" s="74">
        <v>1000</v>
      </c>
      <c r="F170" s="10">
        <v>0</v>
      </c>
      <c r="G170" s="9">
        <v>1200</v>
      </c>
      <c r="H170" s="11">
        <v>1200</v>
      </c>
      <c r="I170" s="92">
        <v>0</v>
      </c>
      <c r="J170" s="9">
        <v>1300</v>
      </c>
      <c r="K170" s="74">
        <v>1300</v>
      </c>
      <c r="L170" s="10">
        <v>0</v>
      </c>
      <c r="M170" s="9">
        <v>1400</v>
      </c>
      <c r="N170" s="11">
        <v>1400</v>
      </c>
      <c r="O170" s="92">
        <v>0</v>
      </c>
      <c r="P170" s="9">
        <v>1600</v>
      </c>
      <c r="Q170" s="74">
        <v>1600</v>
      </c>
      <c r="R170" s="10">
        <v>0</v>
      </c>
      <c r="S170" s="9">
        <v>1700</v>
      </c>
      <c r="T170" s="11">
        <v>1700</v>
      </c>
      <c r="U170" s="10">
        <v>8200</v>
      </c>
      <c r="V170" s="11">
        <v>8200</v>
      </c>
      <c r="W170" s="39"/>
    </row>
    <row r="171" spans="1:26" ht="38.25" x14ac:dyDescent="0.2">
      <c r="A171" s="254"/>
      <c r="B171" s="230" t="s">
        <v>53</v>
      </c>
      <c r="C171" s="92">
        <v>1900</v>
      </c>
      <c r="D171" s="35">
        <v>6726.9</v>
      </c>
      <c r="E171" s="74">
        <f t="shared" ref="E171:E181" si="222">C171+D171</f>
        <v>8626.9</v>
      </c>
      <c r="F171" s="10">
        <v>1862</v>
      </c>
      <c r="G171" s="9">
        <f>6848.5+38</f>
        <v>6886.5</v>
      </c>
      <c r="H171" s="11">
        <f t="shared" ref="H171:H181" si="223">F171+G171</f>
        <v>8748.5</v>
      </c>
      <c r="I171" s="92">
        <v>1961.01</v>
      </c>
      <c r="J171" s="9">
        <f>6519+39</f>
        <v>6558</v>
      </c>
      <c r="K171" s="74">
        <f t="shared" ref="K171:K181" si="224">I171+J171</f>
        <v>8519.01</v>
      </c>
      <c r="L171" s="10">
        <v>2000</v>
      </c>
      <c r="M171" s="9">
        <v>3500</v>
      </c>
      <c r="N171" s="11">
        <f>L171+M171</f>
        <v>5500</v>
      </c>
      <c r="O171" s="92">
        <v>2000</v>
      </c>
      <c r="P171" s="9">
        <v>3500</v>
      </c>
      <c r="Q171" s="74">
        <f>O171+P171</f>
        <v>5500</v>
      </c>
      <c r="R171" s="10">
        <v>2000</v>
      </c>
      <c r="S171" s="9">
        <v>3500</v>
      </c>
      <c r="T171" s="11">
        <f>R171+S171</f>
        <v>5500</v>
      </c>
      <c r="U171" s="10">
        <f t="shared" ref="U171:V181" si="225">D171+G171+J171+M171+P171+S171</f>
        <v>30671.4</v>
      </c>
      <c r="V171" s="11">
        <f t="shared" si="225"/>
        <v>42394.41</v>
      </c>
      <c r="W171" s="39"/>
    </row>
    <row r="172" spans="1:26" ht="25.5" x14ac:dyDescent="0.2">
      <c r="A172" s="254">
        <v>40</v>
      </c>
      <c r="B172" s="127" t="s">
        <v>54</v>
      </c>
      <c r="C172" s="45">
        <f>C174</f>
        <v>769.5</v>
      </c>
      <c r="D172" s="1"/>
      <c r="E172" s="93">
        <f t="shared" si="222"/>
        <v>769.5</v>
      </c>
      <c r="F172" s="2">
        <f>F174</f>
        <v>754.11</v>
      </c>
      <c r="G172" s="1">
        <f>G174</f>
        <v>15.389999999999986</v>
      </c>
      <c r="H172" s="3">
        <f t="shared" si="223"/>
        <v>769.5</v>
      </c>
      <c r="I172" s="45">
        <f>I174</f>
        <v>873.11530000000005</v>
      </c>
      <c r="J172" s="1">
        <f>J174</f>
        <v>17.35979999999995</v>
      </c>
      <c r="K172" s="93">
        <f t="shared" si="224"/>
        <v>890.4751</v>
      </c>
      <c r="L172" s="2">
        <f>L174</f>
        <v>932.32749999999999</v>
      </c>
      <c r="M172" s="1"/>
      <c r="N172" s="3">
        <f t="shared" si="219"/>
        <v>932.32749999999999</v>
      </c>
      <c r="O172" s="45">
        <f>O174</f>
        <v>973.34979999999996</v>
      </c>
      <c r="P172" s="1"/>
      <c r="Q172" s="93">
        <f t="shared" si="220"/>
        <v>973.34979999999996</v>
      </c>
      <c r="R172" s="2">
        <f>R174</f>
        <v>1014.2305</v>
      </c>
      <c r="S172" s="1"/>
      <c r="T172" s="3">
        <f t="shared" si="221"/>
        <v>1014.2305</v>
      </c>
      <c r="U172" s="10">
        <f t="shared" si="225"/>
        <v>32.749799999999937</v>
      </c>
      <c r="V172" s="11">
        <f t="shared" si="225"/>
        <v>5349.3828999999996</v>
      </c>
      <c r="W172" s="39"/>
    </row>
    <row r="173" spans="1:26" x14ac:dyDescent="0.2">
      <c r="A173" s="254"/>
      <c r="B173" s="129" t="s">
        <v>2</v>
      </c>
      <c r="C173" s="92"/>
      <c r="D173" s="9"/>
      <c r="E173" s="74">
        <f t="shared" si="222"/>
        <v>0</v>
      </c>
      <c r="F173" s="10"/>
      <c r="G173" s="9"/>
      <c r="H173" s="11">
        <f t="shared" si="223"/>
        <v>0</v>
      </c>
      <c r="I173" s="92"/>
      <c r="J173" s="9"/>
      <c r="K173" s="74">
        <f t="shared" si="224"/>
        <v>0</v>
      </c>
      <c r="L173" s="10"/>
      <c r="M173" s="9"/>
      <c r="N173" s="11">
        <f t="shared" si="219"/>
        <v>0</v>
      </c>
      <c r="O173" s="92"/>
      <c r="P173" s="9"/>
      <c r="Q173" s="74">
        <f t="shared" si="220"/>
        <v>0</v>
      </c>
      <c r="R173" s="10"/>
      <c r="S173" s="9"/>
      <c r="T173" s="11">
        <f t="shared" si="221"/>
        <v>0</v>
      </c>
      <c r="U173" s="10">
        <f t="shared" si="225"/>
        <v>0</v>
      </c>
      <c r="V173" s="11">
        <f t="shared" si="225"/>
        <v>0</v>
      </c>
      <c r="W173" s="39"/>
    </row>
    <row r="174" spans="1:26" x14ac:dyDescent="0.2">
      <c r="A174" s="254"/>
      <c r="B174" s="129" t="s">
        <v>90</v>
      </c>
      <c r="C174" s="92">
        <v>769.5</v>
      </c>
      <c r="D174" s="9"/>
      <c r="E174" s="74">
        <f t="shared" si="222"/>
        <v>769.5</v>
      </c>
      <c r="F174" s="10">
        <v>754.11</v>
      </c>
      <c r="G174" s="9">
        <v>15.389999999999986</v>
      </c>
      <c r="H174" s="11">
        <f t="shared" si="223"/>
        <v>769.5</v>
      </c>
      <c r="I174" s="92">
        <v>873.11530000000005</v>
      </c>
      <c r="J174" s="9">
        <v>17.35979999999995</v>
      </c>
      <c r="K174" s="74">
        <f t="shared" si="224"/>
        <v>890.4751</v>
      </c>
      <c r="L174" s="10">
        <v>932.32749999999999</v>
      </c>
      <c r="M174" s="9"/>
      <c r="N174" s="11">
        <f t="shared" si="219"/>
        <v>932.32749999999999</v>
      </c>
      <c r="O174" s="92">
        <v>973.34979999999996</v>
      </c>
      <c r="P174" s="9"/>
      <c r="Q174" s="74">
        <f t="shared" si="220"/>
        <v>973.34979999999996</v>
      </c>
      <c r="R174" s="10">
        <v>1014.2305</v>
      </c>
      <c r="S174" s="9"/>
      <c r="T174" s="11">
        <f t="shared" si="221"/>
        <v>1014.2305</v>
      </c>
      <c r="U174" s="10">
        <f t="shared" si="225"/>
        <v>32.749799999999937</v>
      </c>
      <c r="V174" s="11">
        <f t="shared" si="225"/>
        <v>5349.3828999999996</v>
      </c>
      <c r="W174" s="39"/>
    </row>
    <row r="175" spans="1:26" ht="25.5" hidden="1" x14ac:dyDescent="0.2">
      <c r="A175" s="254"/>
      <c r="B175" s="130" t="s">
        <v>55</v>
      </c>
      <c r="C175" s="92"/>
      <c r="D175" s="9"/>
      <c r="E175" s="74">
        <f t="shared" si="222"/>
        <v>0</v>
      </c>
      <c r="F175" s="10"/>
      <c r="G175" s="9"/>
      <c r="H175" s="11">
        <f t="shared" si="223"/>
        <v>0</v>
      </c>
      <c r="I175" s="92"/>
      <c r="J175" s="9"/>
      <c r="K175" s="74">
        <f t="shared" si="224"/>
        <v>0</v>
      </c>
      <c r="L175" s="10"/>
      <c r="M175" s="9"/>
      <c r="N175" s="11">
        <f t="shared" si="219"/>
        <v>0</v>
      </c>
      <c r="O175" s="92"/>
      <c r="P175" s="9"/>
      <c r="Q175" s="74">
        <f t="shared" si="220"/>
        <v>0</v>
      </c>
      <c r="R175" s="10"/>
      <c r="S175" s="9"/>
      <c r="T175" s="11">
        <f t="shared" si="221"/>
        <v>0</v>
      </c>
      <c r="U175" s="10">
        <f t="shared" si="225"/>
        <v>0</v>
      </c>
      <c r="V175" s="11">
        <f t="shared" si="225"/>
        <v>0</v>
      </c>
      <c r="W175" s="39"/>
    </row>
    <row r="176" spans="1:26" x14ac:dyDescent="0.2">
      <c r="A176" s="254">
        <v>41</v>
      </c>
      <c r="B176" s="127" t="s">
        <v>80</v>
      </c>
      <c r="C176" s="92"/>
      <c r="D176" s="9">
        <f>D178</f>
        <v>1000</v>
      </c>
      <c r="E176" s="74">
        <f t="shared" si="222"/>
        <v>1000</v>
      </c>
      <c r="F176" s="10"/>
      <c r="G176" s="9">
        <f>G178</f>
        <v>1000</v>
      </c>
      <c r="H176" s="11">
        <f t="shared" si="223"/>
        <v>1000</v>
      </c>
      <c r="I176" s="92"/>
      <c r="J176" s="9">
        <f>J178</f>
        <v>1000</v>
      </c>
      <c r="K176" s="74">
        <f t="shared" si="224"/>
        <v>1000</v>
      </c>
      <c r="L176" s="10"/>
      <c r="M176" s="9">
        <f>M178</f>
        <v>1000</v>
      </c>
      <c r="N176" s="11">
        <f t="shared" si="219"/>
        <v>1000</v>
      </c>
      <c r="O176" s="92"/>
      <c r="P176" s="9">
        <f>P178</f>
        <v>1000</v>
      </c>
      <c r="Q176" s="74">
        <f t="shared" si="220"/>
        <v>1000</v>
      </c>
      <c r="R176" s="10"/>
      <c r="S176" s="9">
        <f>S178</f>
        <v>1000</v>
      </c>
      <c r="T176" s="11">
        <f t="shared" si="221"/>
        <v>1000</v>
      </c>
      <c r="U176" s="10">
        <f t="shared" si="225"/>
        <v>6000</v>
      </c>
      <c r="V176" s="11">
        <f t="shared" si="225"/>
        <v>6000</v>
      </c>
      <c r="W176" s="39"/>
    </row>
    <row r="177" spans="1:26" x14ac:dyDescent="0.2">
      <c r="A177" s="254"/>
      <c r="B177" s="129" t="s">
        <v>2</v>
      </c>
      <c r="C177" s="92"/>
      <c r="D177" s="9"/>
      <c r="E177" s="74">
        <f t="shared" si="222"/>
        <v>0</v>
      </c>
      <c r="F177" s="10"/>
      <c r="G177" s="9"/>
      <c r="H177" s="11">
        <f t="shared" si="223"/>
        <v>0</v>
      </c>
      <c r="I177" s="92"/>
      <c r="J177" s="9"/>
      <c r="K177" s="74">
        <f t="shared" si="224"/>
        <v>0</v>
      </c>
      <c r="L177" s="10"/>
      <c r="M177" s="9"/>
      <c r="N177" s="11">
        <f t="shared" si="219"/>
        <v>0</v>
      </c>
      <c r="O177" s="92"/>
      <c r="P177" s="9"/>
      <c r="Q177" s="74">
        <f t="shared" si="220"/>
        <v>0</v>
      </c>
      <c r="R177" s="10"/>
      <c r="S177" s="9"/>
      <c r="T177" s="11">
        <f t="shared" si="221"/>
        <v>0</v>
      </c>
      <c r="U177" s="10">
        <f t="shared" si="225"/>
        <v>0</v>
      </c>
      <c r="V177" s="11">
        <f t="shared" si="225"/>
        <v>0</v>
      </c>
      <c r="W177" s="39"/>
    </row>
    <row r="178" spans="1:26" ht="14.25" customHeight="1" x14ac:dyDescent="0.2">
      <c r="A178" s="254"/>
      <c r="B178" s="130" t="s">
        <v>129</v>
      </c>
      <c r="C178" s="92"/>
      <c r="D178" s="9">
        <v>1000</v>
      </c>
      <c r="E178" s="74">
        <f t="shared" si="222"/>
        <v>1000</v>
      </c>
      <c r="F178" s="10"/>
      <c r="G178" s="9">
        <v>1000</v>
      </c>
      <c r="H178" s="11">
        <f t="shared" si="223"/>
        <v>1000</v>
      </c>
      <c r="I178" s="92"/>
      <c r="J178" s="9">
        <v>1000</v>
      </c>
      <c r="K178" s="74">
        <f t="shared" si="224"/>
        <v>1000</v>
      </c>
      <c r="L178" s="10"/>
      <c r="M178" s="9">
        <v>1000</v>
      </c>
      <c r="N178" s="11">
        <f t="shared" si="219"/>
        <v>1000</v>
      </c>
      <c r="O178" s="92"/>
      <c r="P178" s="9">
        <v>1000</v>
      </c>
      <c r="Q178" s="74">
        <f t="shared" si="220"/>
        <v>1000</v>
      </c>
      <c r="R178" s="10"/>
      <c r="S178" s="9">
        <v>1000</v>
      </c>
      <c r="T178" s="11">
        <f t="shared" si="221"/>
        <v>1000</v>
      </c>
      <c r="U178" s="10">
        <f t="shared" si="225"/>
        <v>6000</v>
      </c>
      <c r="V178" s="11">
        <f t="shared" si="225"/>
        <v>6000</v>
      </c>
      <c r="W178" s="39"/>
    </row>
    <row r="179" spans="1:26" x14ac:dyDescent="0.2">
      <c r="A179" s="254">
        <v>42</v>
      </c>
      <c r="B179" s="127" t="s">
        <v>56</v>
      </c>
      <c r="C179" s="45">
        <f>C181</f>
        <v>475</v>
      </c>
      <c r="D179" s="1"/>
      <c r="E179" s="93">
        <f t="shared" si="222"/>
        <v>475</v>
      </c>
      <c r="F179" s="2">
        <f>F181</f>
        <v>465.5</v>
      </c>
      <c r="G179" s="1">
        <f>G181</f>
        <v>9.5</v>
      </c>
      <c r="H179" s="3">
        <f t="shared" si="223"/>
        <v>475</v>
      </c>
      <c r="I179" s="45">
        <f>I181</f>
        <v>323.37599999999998</v>
      </c>
      <c r="J179" s="1">
        <f>J181</f>
        <v>6.4296000000000504</v>
      </c>
      <c r="K179" s="93">
        <f t="shared" si="224"/>
        <v>329.80560000000003</v>
      </c>
      <c r="L179" s="2">
        <f>L181</f>
        <v>345.3064</v>
      </c>
      <c r="M179" s="1"/>
      <c r="N179" s="3">
        <f t="shared" si="219"/>
        <v>345.3064</v>
      </c>
      <c r="O179" s="45">
        <f>O181</f>
        <v>360.5</v>
      </c>
      <c r="P179" s="1"/>
      <c r="Q179" s="93">
        <f t="shared" si="220"/>
        <v>360.5</v>
      </c>
      <c r="R179" s="2">
        <f>R181</f>
        <v>375.64100000000002</v>
      </c>
      <c r="S179" s="1"/>
      <c r="T179" s="3">
        <f t="shared" si="221"/>
        <v>375.64100000000002</v>
      </c>
      <c r="U179" s="10">
        <f t="shared" si="225"/>
        <v>15.92960000000005</v>
      </c>
      <c r="V179" s="11">
        <f t="shared" si="225"/>
        <v>2361.2530000000002</v>
      </c>
      <c r="W179" s="39"/>
    </row>
    <row r="180" spans="1:26" x14ac:dyDescent="0.2">
      <c r="A180" s="254"/>
      <c r="B180" s="129" t="s">
        <v>2</v>
      </c>
      <c r="C180" s="92"/>
      <c r="D180" s="9"/>
      <c r="E180" s="74">
        <f t="shared" si="222"/>
        <v>0</v>
      </c>
      <c r="F180" s="10"/>
      <c r="G180" s="9"/>
      <c r="H180" s="11">
        <f t="shared" si="223"/>
        <v>0</v>
      </c>
      <c r="I180" s="92"/>
      <c r="J180" s="9"/>
      <c r="K180" s="74">
        <f t="shared" si="224"/>
        <v>0</v>
      </c>
      <c r="L180" s="10"/>
      <c r="M180" s="9"/>
      <c r="N180" s="11">
        <f t="shared" si="219"/>
        <v>0</v>
      </c>
      <c r="O180" s="92"/>
      <c r="P180" s="9"/>
      <c r="Q180" s="74">
        <f t="shared" si="220"/>
        <v>0</v>
      </c>
      <c r="R180" s="10"/>
      <c r="S180" s="9"/>
      <c r="T180" s="11">
        <f t="shared" si="221"/>
        <v>0</v>
      </c>
      <c r="U180" s="10">
        <f t="shared" si="225"/>
        <v>0</v>
      </c>
      <c r="V180" s="11">
        <f t="shared" si="225"/>
        <v>0</v>
      </c>
      <c r="W180" s="39"/>
    </row>
    <row r="181" spans="1:26" ht="39" thickBot="1" x14ac:dyDescent="0.25">
      <c r="A181" s="254"/>
      <c r="B181" s="137" t="s">
        <v>57</v>
      </c>
      <c r="C181" s="104">
        <v>475</v>
      </c>
      <c r="D181" s="58"/>
      <c r="E181" s="118">
        <f t="shared" si="222"/>
        <v>475</v>
      </c>
      <c r="F181" s="60">
        <v>465.5</v>
      </c>
      <c r="G181" s="58">
        <v>9.5</v>
      </c>
      <c r="H181" s="59">
        <f t="shared" si="223"/>
        <v>475</v>
      </c>
      <c r="I181" s="104">
        <v>323.37599999999998</v>
      </c>
      <c r="J181" s="58">
        <v>6.4296000000000504</v>
      </c>
      <c r="K181" s="118">
        <f t="shared" si="224"/>
        <v>329.80560000000003</v>
      </c>
      <c r="L181" s="60">
        <v>345.3064</v>
      </c>
      <c r="M181" s="58"/>
      <c r="N181" s="59">
        <f t="shared" si="219"/>
        <v>345.3064</v>
      </c>
      <c r="O181" s="104">
        <v>360.5</v>
      </c>
      <c r="P181" s="58"/>
      <c r="Q181" s="118">
        <f t="shared" si="220"/>
        <v>360.5</v>
      </c>
      <c r="R181" s="60">
        <v>375.64100000000002</v>
      </c>
      <c r="S181" s="58"/>
      <c r="T181" s="59">
        <f t="shared" si="221"/>
        <v>375.64100000000002</v>
      </c>
      <c r="U181" s="60">
        <f t="shared" si="225"/>
        <v>15.92960000000005</v>
      </c>
      <c r="V181" s="59">
        <f t="shared" si="225"/>
        <v>2361.2530000000002</v>
      </c>
      <c r="W181" s="105"/>
    </row>
    <row r="182" spans="1:26" ht="18" customHeight="1" thickBot="1" x14ac:dyDescent="0.25">
      <c r="A182" s="259" t="s">
        <v>58</v>
      </c>
      <c r="B182" s="260"/>
      <c r="C182" s="260"/>
      <c r="D182" s="260"/>
      <c r="E182" s="260"/>
      <c r="F182" s="260"/>
      <c r="G182" s="260"/>
      <c r="H182" s="260"/>
      <c r="I182" s="260"/>
      <c r="J182" s="260"/>
      <c r="K182" s="260"/>
      <c r="L182" s="260"/>
      <c r="M182" s="260"/>
      <c r="N182" s="260"/>
      <c r="O182" s="260"/>
      <c r="P182" s="260"/>
      <c r="Q182" s="260"/>
      <c r="R182" s="260"/>
      <c r="S182" s="260"/>
      <c r="T182" s="260"/>
      <c r="U182" s="260"/>
      <c r="V182" s="260"/>
      <c r="W182" s="261"/>
      <c r="X182" s="119"/>
      <c r="Y182" s="119"/>
      <c r="Z182" s="119"/>
    </row>
    <row r="183" spans="1:26" x14ac:dyDescent="0.2">
      <c r="A183" s="255"/>
      <c r="B183" s="46" t="s">
        <v>88</v>
      </c>
      <c r="C183" s="5">
        <f>SUM(C184:C185)</f>
        <v>23625.505799999999</v>
      </c>
      <c r="D183" s="5">
        <f>SUM(D184:D185)</f>
        <v>3128.0132000000012</v>
      </c>
      <c r="E183" s="6">
        <f>C183+D183</f>
        <v>26753.519</v>
      </c>
      <c r="F183" s="5">
        <f t="shared" ref="F183" si="226">SUM(F184:F185)</f>
        <v>23254.805699999997</v>
      </c>
      <c r="G183" s="5">
        <f>SUM(G184:G185)</f>
        <v>2127.4799999999987</v>
      </c>
      <c r="H183" s="6">
        <f t="shared" ref="H183:H193" si="227">F183+G183</f>
        <v>25382.285699999997</v>
      </c>
      <c r="I183" s="5">
        <f t="shared" ref="I183:J183" si="228">SUM(I184:I185)</f>
        <v>26436.794000000002</v>
      </c>
      <c r="J183" s="5">
        <f t="shared" si="228"/>
        <v>2849.4045999999985</v>
      </c>
      <c r="K183" s="6">
        <f t="shared" ref="K183:K193" si="229">I183+J183</f>
        <v>29286.1986</v>
      </c>
      <c r="L183" s="4">
        <f t="shared" ref="L183:M183" si="230">SUM(L184:L185)</f>
        <v>27099.1024</v>
      </c>
      <c r="M183" s="5">
        <f t="shared" si="230"/>
        <v>2331.9</v>
      </c>
      <c r="N183" s="6">
        <f>L183+M183</f>
        <v>29431.002400000001</v>
      </c>
      <c r="O183" s="4">
        <f t="shared" ref="O183:P183" si="231">SUM(O184:O185)</f>
        <v>28258.339999999997</v>
      </c>
      <c r="P183" s="4">
        <f t="shared" si="231"/>
        <v>1979.9</v>
      </c>
      <c r="Q183" s="6">
        <f>O183+P183</f>
        <v>30238.239999999998</v>
      </c>
      <c r="R183" s="4">
        <f t="shared" ref="R183:S183" si="232">SUM(R184:R185)</f>
        <v>29112.250999999997</v>
      </c>
      <c r="S183" s="5">
        <f t="shared" si="232"/>
        <v>2063.4</v>
      </c>
      <c r="T183" s="6">
        <f>R183+S183</f>
        <v>31175.650999999998</v>
      </c>
      <c r="U183" s="40">
        <f t="shared" ref="U183:V191" si="233">D183+G183+J183+M183+P183+S183</f>
        <v>14480.097799999998</v>
      </c>
      <c r="V183" s="80">
        <f t="shared" si="233"/>
        <v>172266.89669999998</v>
      </c>
      <c r="W183" s="157"/>
      <c r="X183" s="119"/>
      <c r="Y183" s="119"/>
      <c r="Z183" s="119"/>
    </row>
    <row r="184" spans="1:26" x14ac:dyDescent="0.2">
      <c r="A184" s="254"/>
      <c r="B184" s="56" t="s">
        <v>91</v>
      </c>
      <c r="C184" s="9">
        <f>SUM(C186:C188,C194)</f>
        <v>13265.3627</v>
      </c>
      <c r="D184" s="9">
        <f>SUM(D186:D188,D194)</f>
        <v>1450.8765000000012</v>
      </c>
      <c r="E184" s="11">
        <f t="shared" ref="E184:E193" si="234">C184+D184</f>
        <v>14716.2392</v>
      </c>
      <c r="F184" s="9">
        <f>SUM(F186:F188,F194)</f>
        <v>13313.600199999999</v>
      </c>
      <c r="G184" s="9">
        <f>SUM(G186:G188,G194)</f>
        <v>1170.0897999999991</v>
      </c>
      <c r="H184" s="11">
        <f t="shared" si="227"/>
        <v>14483.689999999999</v>
      </c>
      <c r="I184" s="9">
        <f>SUM(I186:I188,I194)</f>
        <v>16150.319100000001</v>
      </c>
      <c r="J184" s="9">
        <f>SUM(J186:J188,J194)</f>
        <v>1892.0045999999986</v>
      </c>
      <c r="K184" s="11">
        <f t="shared" si="229"/>
        <v>18042.323700000001</v>
      </c>
      <c r="L184" s="10">
        <f>SUM(L186,L187,L188)</f>
        <v>17584.2965</v>
      </c>
      <c r="M184" s="10">
        <f>SUM(M186,M187,M188,M194)</f>
        <v>1173.4000000000001</v>
      </c>
      <c r="N184" s="11">
        <f t="shared" ref="N184:N195" si="235">L184+M184</f>
        <v>18757.696500000002</v>
      </c>
      <c r="O184" s="10">
        <f>SUM(O186:O188)</f>
        <v>18542.199399999998</v>
      </c>
      <c r="P184" s="9">
        <f>SUM(P186:P188,P194)</f>
        <v>821.4</v>
      </c>
      <c r="Q184" s="11">
        <f t="shared" ref="Q184:Q195" si="236">O184+P184</f>
        <v>19363.599399999999</v>
      </c>
      <c r="R184" s="10">
        <f>SUM(R186:R188,R194)</f>
        <v>19195.471399999999</v>
      </c>
      <c r="S184" s="9">
        <f>SUM(S186:S188,S194)</f>
        <v>904.9</v>
      </c>
      <c r="T184" s="11">
        <f t="shared" ref="T184:T195" si="237">R184+S184</f>
        <v>20100.3714</v>
      </c>
      <c r="U184" s="10">
        <f t="shared" si="233"/>
        <v>7412.6708999999973</v>
      </c>
      <c r="V184" s="11">
        <f t="shared" si="233"/>
        <v>105463.92019999999</v>
      </c>
      <c r="W184" s="155" t="s">
        <v>168</v>
      </c>
      <c r="X184" s="119"/>
      <c r="Y184" s="119"/>
      <c r="Z184" s="119"/>
    </row>
    <row r="185" spans="1:26" ht="13.5" thickBot="1" x14ac:dyDescent="0.25">
      <c r="A185" s="254"/>
      <c r="B185" s="57" t="s">
        <v>93</v>
      </c>
      <c r="C185" s="58">
        <f>C195</f>
        <v>10360.143099999999</v>
      </c>
      <c r="D185" s="58">
        <f>D195</f>
        <v>1677.1367</v>
      </c>
      <c r="E185" s="59">
        <f t="shared" si="234"/>
        <v>12037.2798</v>
      </c>
      <c r="F185" s="58">
        <f t="shared" ref="F185:G185" si="238">F195</f>
        <v>9941.2055</v>
      </c>
      <c r="G185" s="58">
        <f t="shared" si="238"/>
        <v>957.39019999999982</v>
      </c>
      <c r="H185" s="59">
        <f t="shared" si="227"/>
        <v>10898.5957</v>
      </c>
      <c r="I185" s="58">
        <f t="shared" ref="I185:J185" si="239">I195</f>
        <v>10286.474899999999</v>
      </c>
      <c r="J185" s="58">
        <f t="shared" si="239"/>
        <v>957.4</v>
      </c>
      <c r="K185" s="59">
        <f t="shared" si="229"/>
        <v>11243.874899999999</v>
      </c>
      <c r="L185" s="60">
        <f t="shared" ref="L185" si="240">L195</f>
        <v>9514.8058999999994</v>
      </c>
      <c r="M185" s="58">
        <f>SUM(M195)</f>
        <v>1158.5</v>
      </c>
      <c r="N185" s="59">
        <f t="shared" si="235"/>
        <v>10673.305899999999</v>
      </c>
      <c r="O185" s="60">
        <f t="shared" ref="O185:P185" si="241">O195</f>
        <v>9716.1406000000006</v>
      </c>
      <c r="P185" s="58">
        <f t="shared" si="241"/>
        <v>1158.5</v>
      </c>
      <c r="Q185" s="59">
        <f t="shared" si="236"/>
        <v>10874.640600000001</v>
      </c>
      <c r="R185" s="60">
        <f t="shared" ref="R185:S185" si="242">R195</f>
        <v>9916.7795999999998</v>
      </c>
      <c r="S185" s="58">
        <f t="shared" si="242"/>
        <v>1158.5</v>
      </c>
      <c r="T185" s="59">
        <f t="shared" si="237"/>
        <v>11075.2796</v>
      </c>
      <c r="U185" s="60">
        <f t="shared" si="233"/>
        <v>7067.4269000000004</v>
      </c>
      <c r="V185" s="59">
        <f t="shared" si="233"/>
        <v>66802.976500000004</v>
      </c>
      <c r="W185" s="158"/>
      <c r="X185" s="119"/>
      <c r="Y185" s="119"/>
      <c r="Z185" s="119"/>
    </row>
    <row r="186" spans="1:26" ht="37.5" customHeight="1" x14ac:dyDescent="0.2">
      <c r="A186" s="84">
        <v>43</v>
      </c>
      <c r="B186" s="159" t="s">
        <v>59</v>
      </c>
      <c r="C186" s="70">
        <v>967.63329999999996</v>
      </c>
      <c r="D186" s="70">
        <f>53.0752-7.88839999999993</f>
        <v>45.186800000000076</v>
      </c>
      <c r="E186" s="71">
        <f t="shared" si="234"/>
        <v>1012.8201</v>
      </c>
      <c r="F186" s="70">
        <v>968.36560000000009</v>
      </c>
      <c r="G186" s="70">
        <f>44.9379-8.35280000000012</f>
        <v>36.585099999999883</v>
      </c>
      <c r="H186" s="71">
        <f t="shared" si="227"/>
        <v>1004.9507</v>
      </c>
      <c r="I186" s="70">
        <v>944.16449999999998</v>
      </c>
      <c r="J186" s="70">
        <f>43.5391-49.1453</f>
        <v>-5.6062000000000012</v>
      </c>
      <c r="K186" s="71">
        <f t="shared" si="229"/>
        <v>938.55829999999992</v>
      </c>
      <c r="L186" s="69">
        <v>1039.5920000000001</v>
      </c>
      <c r="M186" s="70"/>
      <c r="N186" s="71">
        <f t="shared" si="235"/>
        <v>1039.5920000000001</v>
      </c>
      <c r="O186" s="69">
        <v>1084.9562000000001</v>
      </c>
      <c r="P186" s="70"/>
      <c r="Q186" s="71">
        <f t="shared" si="236"/>
        <v>1084.9562000000001</v>
      </c>
      <c r="R186" s="69">
        <v>1130.1639</v>
      </c>
      <c r="S186" s="70"/>
      <c r="T186" s="71">
        <f t="shared" si="237"/>
        <v>1130.1639</v>
      </c>
      <c r="U186" s="42">
        <f t="shared" si="233"/>
        <v>76.165699999999958</v>
      </c>
      <c r="V186" s="43">
        <f t="shared" si="233"/>
        <v>6211.0411999999997</v>
      </c>
      <c r="W186" s="65"/>
    </row>
    <row r="187" spans="1:26" ht="32.25" customHeight="1" x14ac:dyDescent="0.2">
      <c r="A187" s="84">
        <v>44</v>
      </c>
      <c r="B187" s="75" t="s">
        <v>60</v>
      </c>
      <c r="C187" s="1">
        <v>12126.48</v>
      </c>
      <c r="D187" s="1">
        <v>550.18970000000104</v>
      </c>
      <c r="E187" s="3">
        <f>C187+D187</f>
        <v>12676.6697</v>
      </c>
      <c r="F187" s="1">
        <v>12177.4102</v>
      </c>
      <c r="G187" s="1">
        <v>449.27969999999914</v>
      </c>
      <c r="H187" s="3">
        <f t="shared" si="227"/>
        <v>12626.689899999999</v>
      </c>
      <c r="I187" s="1">
        <v>14025.4725</v>
      </c>
      <c r="J187" s="1">
        <v>1312.4924999999985</v>
      </c>
      <c r="K187" s="3">
        <f t="shared" si="229"/>
        <v>15337.964999999998</v>
      </c>
      <c r="L187" s="2">
        <f>15440.9379+1150-848</f>
        <v>15742.937900000001</v>
      </c>
      <c r="M187" s="1">
        <v>848</v>
      </c>
      <c r="N187" s="3">
        <f t="shared" si="235"/>
        <v>16590.937900000001</v>
      </c>
      <c r="O187" s="2">
        <f>16137.3748+1100-621.5</f>
        <v>16615.874799999998</v>
      </c>
      <c r="P187" s="1">
        <v>621.5</v>
      </c>
      <c r="Q187" s="3">
        <f t="shared" si="236"/>
        <v>17237.374799999998</v>
      </c>
      <c r="R187" s="2">
        <f>16837.4189+1100-754.9</f>
        <v>17182.518899999999</v>
      </c>
      <c r="S187" s="1">
        <v>755</v>
      </c>
      <c r="T187" s="3">
        <f t="shared" si="237"/>
        <v>17937.518899999999</v>
      </c>
      <c r="U187" s="10">
        <f t="shared" si="233"/>
        <v>4536.4618999999984</v>
      </c>
      <c r="V187" s="11">
        <f t="shared" si="233"/>
        <v>92407.156199999998</v>
      </c>
      <c r="W187" s="39"/>
    </row>
    <row r="188" spans="1:26" ht="47.25" customHeight="1" x14ac:dyDescent="0.2">
      <c r="A188" s="254">
        <v>45</v>
      </c>
      <c r="B188" s="75" t="s">
        <v>61</v>
      </c>
      <c r="C188" s="1">
        <f>C190+C191+C192+C193</f>
        <v>171.24940000000001</v>
      </c>
      <c r="D188" s="1">
        <f>D190+D192+D193</f>
        <v>300</v>
      </c>
      <c r="E188" s="3">
        <f t="shared" si="234"/>
        <v>471.24940000000004</v>
      </c>
      <c r="F188" s="1">
        <v>167.8244</v>
      </c>
      <c r="G188" s="1">
        <f>SUM(G190:G193)</f>
        <v>303.42500000000001</v>
      </c>
      <c r="H188" s="3">
        <f t="shared" si="227"/>
        <v>471.24940000000004</v>
      </c>
      <c r="I188" s="1">
        <v>1180.6821</v>
      </c>
      <c r="J188" s="1">
        <f>J190+J191+J193+J192</f>
        <v>314.91829999999999</v>
      </c>
      <c r="K188" s="3">
        <f t="shared" si="229"/>
        <v>1495.6004</v>
      </c>
      <c r="L188" s="2">
        <f>SUM(L190:L192)</f>
        <v>801.76660000000004</v>
      </c>
      <c r="M188" s="1">
        <f>M190+M191+M192+M193</f>
        <v>0</v>
      </c>
      <c r="N188" s="3">
        <f t="shared" si="235"/>
        <v>801.76660000000004</v>
      </c>
      <c r="O188" s="2">
        <f>SUM(O190:O192)</f>
        <v>841.36839999999995</v>
      </c>
      <c r="P188" s="1">
        <f>P190+P191+P192+P193</f>
        <v>0</v>
      </c>
      <c r="Q188" s="3">
        <f t="shared" si="236"/>
        <v>841.36839999999995</v>
      </c>
      <c r="R188" s="115">
        <f>SUM(R190:R192)</f>
        <v>882.78859999999997</v>
      </c>
      <c r="S188" s="1">
        <f>SUM(S190:S192)</f>
        <v>0</v>
      </c>
      <c r="T188" s="3">
        <f t="shared" si="237"/>
        <v>882.78859999999997</v>
      </c>
      <c r="U188" s="10">
        <f t="shared" si="233"/>
        <v>918.3433</v>
      </c>
      <c r="V188" s="11">
        <f t="shared" si="233"/>
        <v>4964.0227999999997</v>
      </c>
      <c r="W188" s="39"/>
    </row>
    <row r="189" spans="1:26" ht="17.25" customHeight="1" x14ac:dyDescent="0.2">
      <c r="A189" s="254"/>
      <c r="B189" s="33" t="s">
        <v>2</v>
      </c>
      <c r="C189" s="9"/>
      <c r="D189" s="9"/>
      <c r="E189" s="11">
        <f t="shared" si="234"/>
        <v>0</v>
      </c>
      <c r="F189" s="9"/>
      <c r="G189" s="9"/>
      <c r="H189" s="11">
        <f t="shared" si="227"/>
        <v>0</v>
      </c>
      <c r="I189" s="9"/>
      <c r="J189" s="9"/>
      <c r="K189" s="11">
        <f t="shared" si="229"/>
        <v>0</v>
      </c>
      <c r="L189" s="10"/>
      <c r="M189" s="9"/>
      <c r="N189" s="11">
        <f t="shared" si="235"/>
        <v>0</v>
      </c>
      <c r="O189" s="10"/>
      <c r="P189" s="9"/>
      <c r="Q189" s="11">
        <f t="shared" si="236"/>
        <v>0</v>
      </c>
      <c r="R189" s="10"/>
      <c r="S189" s="9"/>
      <c r="T189" s="11">
        <f t="shared" si="237"/>
        <v>0</v>
      </c>
      <c r="U189" s="10">
        <f t="shared" si="233"/>
        <v>0</v>
      </c>
      <c r="V189" s="11">
        <f t="shared" si="233"/>
        <v>0</v>
      </c>
      <c r="W189" s="39"/>
    </row>
    <row r="190" spans="1:26" ht="38.25" x14ac:dyDescent="0.2">
      <c r="A190" s="254"/>
      <c r="B190" s="34" t="s">
        <v>62</v>
      </c>
      <c r="C190" s="9"/>
      <c r="D190" s="9"/>
      <c r="E190" s="11">
        <f t="shared" si="234"/>
        <v>0</v>
      </c>
      <c r="F190" s="9"/>
      <c r="G190" s="9"/>
      <c r="H190" s="11">
        <f t="shared" si="227"/>
        <v>0</v>
      </c>
      <c r="I190" s="9">
        <v>377.01510000000002</v>
      </c>
      <c r="J190" s="9"/>
      <c r="K190" s="11">
        <f t="shared" si="229"/>
        <v>377.01510000000002</v>
      </c>
      <c r="L190" s="10">
        <v>395.30020000000002</v>
      </c>
      <c r="M190" s="9"/>
      <c r="N190" s="11">
        <f t="shared" si="235"/>
        <v>395.30020000000002</v>
      </c>
      <c r="O190" s="10">
        <v>417.01749999999998</v>
      </c>
      <c r="P190" s="9"/>
      <c r="Q190" s="11">
        <f t="shared" si="236"/>
        <v>417.01749999999998</v>
      </c>
      <c r="R190" s="10">
        <v>440.61489999999998</v>
      </c>
      <c r="S190" s="9"/>
      <c r="T190" s="11">
        <f t="shared" si="237"/>
        <v>440.61489999999998</v>
      </c>
      <c r="U190" s="10">
        <f t="shared" si="233"/>
        <v>0</v>
      </c>
      <c r="V190" s="11">
        <f t="shared" si="233"/>
        <v>1629.9476999999999</v>
      </c>
      <c r="W190" s="39"/>
    </row>
    <row r="191" spans="1:26" ht="25.5" x14ac:dyDescent="0.2">
      <c r="A191" s="254"/>
      <c r="B191" s="34" t="s">
        <v>63</v>
      </c>
      <c r="C191" s="9"/>
      <c r="D191" s="9"/>
      <c r="E191" s="11">
        <f t="shared" si="234"/>
        <v>0</v>
      </c>
      <c r="F191" s="9"/>
      <c r="G191" s="9"/>
      <c r="H191" s="11">
        <f t="shared" si="227"/>
        <v>0</v>
      </c>
      <c r="I191" s="9">
        <v>220.2201</v>
      </c>
      <c r="J191" s="9"/>
      <c r="K191" s="11">
        <f t="shared" si="229"/>
        <v>220.2201</v>
      </c>
      <c r="L191" s="10">
        <v>206.46639999999999</v>
      </c>
      <c r="M191" s="9"/>
      <c r="N191" s="11">
        <f t="shared" si="235"/>
        <v>206.46639999999999</v>
      </c>
      <c r="O191" s="10">
        <v>200.3509</v>
      </c>
      <c r="P191" s="9"/>
      <c r="Q191" s="11">
        <f t="shared" si="236"/>
        <v>200.3509</v>
      </c>
      <c r="R191" s="10">
        <v>180.1737</v>
      </c>
      <c r="S191" s="9"/>
      <c r="T191" s="11">
        <f t="shared" si="237"/>
        <v>180.1737</v>
      </c>
      <c r="U191" s="10">
        <f t="shared" si="233"/>
        <v>0</v>
      </c>
      <c r="V191" s="11">
        <f t="shared" si="233"/>
        <v>807.21109999999999</v>
      </c>
      <c r="W191" s="39"/>
    </row>
    <row r="192" spans="1:26" ht="25.5" x14ac:dyDescent="0.2">
      <c r="A192" s="254"/>
      <c r="B192" s="34" t="s">
        <v>64</v>
      </c>
      <c r="C192" s="9">
        <v>171.24940000000001</v>
      </c>
      <c r="D192" s="9">
        <v>300</v>
      </c>
      <c r="E192" s="11">
        <f>C192+D192</f>
        <v>471.24940000000004</v>
      </c>
      <c r="F192" s="9">
        <v>171.24940000000001</v>
      </c>
      <c r="G192" s="9">
        <v>303.42500000000001</v>
      </c>
      <c r="H192" s="11">
        <f>F192+G192</f>
        <v>474.67439999999999</v>
      </c>
      <c r="I192" s="9">
        <v>168</v>
      </c>
      <c r="J192" s="9">
        <v>314.91829999999999</v>
      </c>
      <c r="K192" s="11">
        <f>I192+J192</f>
        <v>482.91829999999999</v>
      </c>
      <c r="L192" s="10">
        <v>200</v>
      </c>
      <c r="M192" s="9"/>
      <c r="N192" s="11">
        <f t="shared" si="235"/>
        <v>200</v>
      </c>
      <c r="O192" s="10">
        <v>224</v>
      </c>
      <c r="P192" s="9"/>
      <c r="Q192" s="11">
        <f t="shared" si="236"/>
        <v>224</v>
      </c>
      <c r="R192" s="10">
        <v>262</v>
      </c>
      <c r="S192" s="9"/>
      <c r="T192" s="11">
        <f t="shared" si="237"/>
        <v>262</v>
      </c>
      <c r="U192" s="10">
        <f>SUM(D192,G192,J192)</f>
        <v>918.3433</v>
      </c>
      <c r="V192" s="11">
        <f>E192+H192+K192+N192+Q192+T192</f>
        <v>2114.8420999999998</v>
      </c>
      <c r="W192" s="39"/>
    </row>
    <row r="193" spans="1:26" ht="48" customHeight="1" x14ac:dyDescent="0.2">
      <c r="A193" s="254"/>
      <c r="B193" s="34" t="s">
        <v>65</v>
      </c>
      <c r="C193" s="9"/>
      <c r="D193" s="9"/>
      <c r="E193" s="11">
        <f t="shared" si="234"/>
        <v>0</v>
      </c>
      <c r="F193" s="9"/>
      <c r="G193" s="9"/>
      <c r="H193" s="11">
        <f t="shared" si="227"/>
        <v>0</v>
      </c>
      <c r="I193" s="9"/>
      <c r="J193" s="9"/>
      <c r="K193" s="11">
        <f t="shared" si="229"/>
        <v>0</v>
      </c>
      <c r="L193" s="10"/>
      <c r="M193" s="9"/>
      <c r="N193" s="11">
        <f t="shared" si="235"/>
        <v>0</v>
      </c>
      <c r="O193" s="10"/>
      <c r="P193" s="9"/>
      <c r="Q193" s="11">
        <f t="shared" si="236"/>
        <v>0</v>
      </c>
      <c r="R193" s="10"/>
      <c r="S193" s="9"/>
      <c r="T193" s="11">
        <f t="shared" si="237"/>
        <v>0</v>
      </c>
      <c r="U193" s="10">
        <f>D193+G193+J193+M193+P193+S193</f>
        <v>0</v>
      </c>
      <c r="V193" s="11">
        <f>E193+H193+K193+N193+Q193+T193</f>
        <v>0</v>
      </c>
      <c r="W193" s="160" t="s">
        <v>121</v>
      </c>
    </row>
    <row r="194" spans="1:26" ht="25.5" customHeight="1" x14ac:dyDescent="0.2">
      <c r="A194" s="84">
        <v>46</v>
      </c>
      <c r="B194" s="219" t="s">
        <v>135</v>
      </c>
      <c r="C194" s="9"/>
      <c r="D194" s="9">
        <v>555.5</v>
      </c>
      <c r="E194" s="11">
        <f>D194</f>
        <v>555.5</v>
      </c>
      <c r="F194" s="9"/>
      <c r="G194" s="9">
        <v>380.8</v>
      </c>
      <c r="H194" s="11">
        <f>G194</f>
        <v>380.8</v>
      </c>
      <c r="I194" s="9"/>
      <c r="J194" s="9">
        <v>270.2</v>
      </c>
      <c r="K194" s="11">
        <f>J194</f>
        <v>270.2</v>
      </c>
      <c r="L194" s="10"/>
      <c r="M194" s="9">
        <v>325.39999999999998</v>
      </c>
      <c r="N194" s="11">
        <f>M194</f>
        <v>325.39999999999998</v>
      </c>
      <c r="O194" s="10"/>
      <c r="P194" s="9">
        <v>199.9</v>
      </c>
      <c r="Q194" s="11">
        <f>P194</f>
        <v>199.9</v>
      </c>
      <c r="R194" s="10"/>
      <c r="S194" s="9">
        <v>149.9</v>
      </c>
      <c r="T194" s="11">
        <f>S194</f>
        <v>149.9</v>
      </c>
      <c r="U194" s="10">
        <f>D194+G194+J194+M194+P194+S194</f>
        <v>1881.7000000000003</v>
      </c>
      <c r="V194" s="11">
        <f>E194+H194+K194+N194+Q194+T194</f>
        <v>1881.7000000000003</v>
      </c>
      <c r="W194" s="39"/>
    </row>
    <row r="195" spans="1:26" ht="28.5" customHeight="1" thickBot="1" x14ac:dyDescent="0.25">
      <c r="A195" s="141">
        <v>47</v>
      </c>
      <c r="B195" s="161" t="s">
        <v>66</v>
      </c>
      <c r="C195" s="144">
        <v>10360.143099999999</v>
      </c>
      <c r="D195" s="144">
        <v>1677.1367</v>
      </c>
      <c r="E195" s="117">
        <f>C195+D195</f>
        <v>12037.2798</v>
      </c>
      <c r="F195" s="144">
        <v>9941.2055</v>
      </c>
      <c r="G195" s="144">
        <v>957.39019999999982</v>
      </c>
      <c r="H195" s="117">
        <f>F195+G195</f>
        <v>10898.5957</v>
      </c>
      <c r="I195" s="144">
        <v>10286.474899999999</v>
      </c>
      <c r="J195" s="144">
        <v>957.4</v>
      </c>
      <c r="K195" s="117">
        <f>I195+J195</f>
        <v>11243.874899999999</v>
      </c>
      <c r="L195" s="145">
        <v>9514.8058999999994</v>
      </c>
      <c r="M195" s="247">
        <v>1158.5</v>
      </c>
      <c r="N195" s="117">
        <f t="shared" si="235"/>
        <v>10673.305899999999</v>
      </c>
      <c r="O195" s="145">
        <v>9716.1406000000006</v>
      </c>
      <c r="P195" s="247">
        <v>1158.5</v>
      </c>
      <c r="Q195" s="117">
        <f t="shared" si="236"/>
        <v>10874.640600000001</v>
      </c>
      <c r="R195" s="145">
        <v>9916.7795999999998</v>
      </c>
      <c r="S195" s="247">
        <v>1158.5</v>
      </c>
      <c r="T195" s="117">
        <f t="shared" si="237"/>
        <v>11075.2796</v>
      </c>
      <c r="U195" s="60">
        <f>D195+G195+J195+M195+P195+S195</f>
        <v>7067.4269000000004</v>
      </c>
      <c r="V195" s="59">
        <f>E195+H195+K195+N195+Q195+T195</f>
        <v>66802.976500000004</v>
      </c>
      <c r="W195" s="105"/>
    </row>
    <row r="196" spans="1:26" ht="18" customHeight="1" thickBot="1" x14ac:dyDescent="0.25">
      <c r="A196" s="274" t="s">
        <v>67</v>
      </c>
      <c r="B196" s="275"/>
      <c r="C196" s="275"/>
      <c r="D196" s="275"/>
      <c r="E196" s="275"/>
      <c r="F196" s="275"/>
      <c r="G196" s="275"/>
      <c r="H196" s="275"/>
      <c r="I196" s="275"/>
      <c r="J196" s="275"/>
      <c r="K196" s="275"/>
      <c r="L196" s="275"/>
      <c r="M196" s="275"/>
      <c r="N196" s="275"/>
      <c r="O196" s="275"/>
      <c r="P196" s="275"/>
      <c r="Q196" s="275"/>
      <c r="R196" s="275"/>
      <c r="S196" s="275"/>
      <c r="T196" s="275"/>
      <c r="U196" s="275"/>
      <c r="V196" s="275"/>
      <c r="W196" s="276"/>
      <c r="X196" s="119"/>
      <c r="Y196" s="119"/>
      <c r="Z196" s="119"/>
    </row>
    <row r="197" spans="1:26" ht="13.5" thickBot="1" x14ac:dyDescent="0.25">
      <c r="A197" s="156"/>
      <c r="B197" s="220" t="s">
        <v>88</v>
      </c>
      <c r="C197" s="51">
        <f>C198</f>
        <v>0</v>
      </c>
      <c r="D197" s="51">
        <f>D198</f>
        <v>10000</v>
      </c>
      <c r="E197" s="52">
        <f>C197+D197</f>
        <v>10000</v>
      </c>
      <c r="F197" s="51">
        <f t="shared" ref="F197:G197" si="243">F198</f>
        <v>0</v>
      </c>
      <c r="G197" s="51">
        <f t="shared" si="243"/>
        <v>10000</v>
      </c>
      <c r="H197" s="52">
        <f>F197+G197</f>
        <v>10000</v>
      </c>
      <c r="I197" s="51">
        <f t="shared" ref="I197:J197" si="244">I198</f>
        <v>0</v>
      </c>
      <c r="J197" s="51">
        <f t="shared" si="244"/>
        <v>10000</v>
      </c>
      <c r="K197" s="52">
        <f>I197+J197</f>
        <v>10000</v>
      </c>
      <c r="L197" s="55">
        <f t="shared" ref="L197:M197" si="245">L198</f>
        <v>0</v>
      </c>
      <c r="M197" s="51">
        <f t="shared" si="245"/>
        <v>19500</v>
      </c>
      <c r="N197" s="52">
        <f>L197+M197</f>
        <v>19500</v>
      </c>
      <c r="O197" s="55">
        <f t="shared" ref="O197:P197" si="246">O198</f>
        <v>0</v>
      </c>
      <c r="P197" s="51">
        <f t="shared" si="246"/>
        <v>20000</v>
      </c>
      <c r="Q197" s="52">
        <f>O197+P197</f>
        <v>20000</v>
      </c>
      <c r="R197" s="55">
        <f t="shared" ref="R197:S197" si="247">R198</f>
        <v>0</v>
      </c>
      <c r="S197" s="51">
        <f t="shared" si="247"/>
        <v>20000</v>
      </c>
      <c r="T197" s="52">
        <f>R197+S197</f>
        <v>20000</v>
      </c>
      <c r="U197" s="54">
        <f>D197+G197+J197+M197+P197+S197</f>
        <v>89500</v>
      </c>
      <c r="V197" s="81">
        <f>E197+H197+K197+N197+Q197+T197</f>
        <v>89500</v>
      </c>
      <c r="W197" s="153"/>
      <c r="X197" s="119"/>
      <c r="Y197" s="119"/>
      <c r="Z197" s="119"/>
    </row>
    <row r="198" spans="1:26" ht="30.75" customHeight="1" thickBot="1" x14ac:dyDescent="0.25">
      <c r="A198" s="141">
        <v>48</v>
      </c>
      <c r="B198" s="221" t="s">
        <v>68</v>
      </c>
      <c r="C198" s="222"/>
      <c r="D198" s="223">
        <v>10000</v>
      </c>
      <c r="E198" s="224">
        <f>C198+D198</f>
        <v>10000</v>
      </c>
      <c r="F198" s="223"/>
      <c r="G198" s="223">
        <v>10000</v>
      </c>
      <c r="H198" s="224">
        <f>F198+G198</f>
        <v>10000</v>
      </c>
      <c r="I198" s="223"/>
      <c r="J198" s="223">
        <v>10000</v>
      </c>
      <c r="K198" s="224">
        <f>I198+J198</f>
        <v>10000</v>
      </c>
      <c r="L198" s="225"/>
      <c r="M198" s="223">
        <v>19500</v>
      </c>
      <c r="N198" s="224">
        <f t="shared" ref="N198" si="248">L198+M198</f>
        <v>19500</v>
      </c>
      <c r="O198" s="225"/>
      <c r="P198" s="223">
        <v>20000</v>
      </c>
      <c r="Q198" s="224">
        <f t="shared" ref="Q198" si="249">O198+P198</f>
        <v>20000</v>
      </c>
      <c r="R198" s="225"/>
      <c r="S198" s="223">
        <v>20000</v>
      </c>
      <c r="T198" s="224">
        <f t="shared" ref="T198" si="250">R198+S198</f>
        <v>20000</v>
      </c>
      <c r="U198" s="225">
        <f>D198+G198+J198+M198+P198+S198</f>
        <v>89500</v>
      </c>
      <c r="V198" s="224">
        <f>E198+H198+K198+N198+Q198+T198</f>
        <v>89500</v>
      </c>
      <c r="W198" s="162" t="s">
        <v>126</v>
      </c>
    </row>
    <row r="199" spans="1:26" ht="15.75" customHeight="1" thickBot="1" x14ac:dyDescent="0.25">
      <c r="A199" s="274" t="s">
        <v>69</v>
      </c>
      <c r="B199" s="275"/>
      <c r="C199" s="275"/>
      <c r="D199" s="275"/>
      <c r="E199" s="275"/>
      <c r="F199" s="275"/>
      <c r="G199" s="275"/>
      <c r="H199" s="275"/>
      <c r="I199" s="275"/>
      <c r="J199" s="275"/>
      <c r="K199" s="275"/>
      <c r="L199" s="275"/>
      <c r="M199" s="275"/>
      <c r="N199" s="275"/>
      <c r="O199" s="275"/>
      <c r="P199" s="275"/>
      <c r="Q199" s="275"/>
      <c r="R199" s="275"/>
      <c r="S199" s="275"/>
      <c r="T199" s="275"/>
      <c r="U199" s="275"/>
      <c r="V199" s="275"/>
      <c r="W199" s="276"/>
      <c r="X199" s="119"/>
      <c r="Y199" s="119"/>
      <c r="Z199" s="119"/>
    </row>
    <row r="200" spans="1:26" ht="13.5" thickBot="1" x14ac:dyDescent="0.25">
      <c r="A200" s="156"/>
      <c r="B200" s="49" t="s">
        <v>88</v>
      </c>
      <c r="C200" s="51"/>
      <c r="D200" s="51"/>
      <c r="E200" s="53">
        <f>C200+D200</f>
        <v>0</v>
      </c>
      <c r="F200" s="51"/>
      <c r="G200" s="51"/>
      <c r="H200" s="52">
        <f>F200+G200</f>
        <v>0</v>
      </c>
      <c r="I200" s="51"/>
      <c r="J200" s="51"/>
      <c r="K200" s="53">
        <f>I200+J200</f>
        <v>0</v>
      </c>
      <c r="L200" s="55"/>
      <c r="M200" s="51"/>
      <c r="N200" s="52">
        <f>L200+M200</f>
        <v>0</v>
      </c>
      <c r="O200" s="50"/>
      <c r="P200" s="51"/>
      <c r="Q200" s="53">
        <f>O200+P200</f>
        <v>0</v>
      </c>
      <c r="R200" s="55"/>
      <c r="S200" s="51"/>
      <c r="T200" s="52">
        <f>R200+S200</f>
        <v>0</v>
      </c>
      <c r="U200" s="211">
        <f t="shared" ref="U200:V202" si="251">D200+G200+J200+M200+P200+S200</f>
        <v>0</v>
      </c>
      <c r="V200" s="81">
        <f t="shared" si="251"/>
        <v>0</v>
      </c>
      <c r="W200" s="149"/>
      <c r="X200" s="119"/>
      <c r="Y200" s="119"/>
      <c r="Z200" s="119"/>
    </row>
    <row r="201" spans="1:26" x14ac:dyDescent="0.2">
      <c r="A201" s="84">
        <v>49</v>
      </c>
      <c r="B201" s="226" t="s">
        <v>70</v>
      </c>
      <c r="C201" s="227"/>
      <c r="D201" s="87">
        <v>0</v>
      </c>
      <c r="E201" s="72"/>
      <c r="F201" s="87"/>
      <c r="G201" s="87"/>
      <c r="H201" s="43"/>
      <c r="I201" s="87"/>
      <c r="J201" s="87"/>
      <c r="K201" s="72"/>
      <c r="L201" s="42"/>
      <c r="M201" s="87"/>
      <c r="N201" s="43"/>
      <c r="O201" s="86"/>
      <c r="P201" s="87"/>
      <c r="Q201" s="72"/>
      <c r="R201" s="42"/>
      <c r="S201" s="87"/>
      <c r="T201" s="43"/>
      <c r="U201" s="86">
        <f t="shared" si="251"/>
        <v>0</v>
      </c>
      <c r="V201" s="43">
        <f t="shared" si="251"/>
        <v>0</v>
      </c>
      <c r="W201" s="151"/>
    </row>
    <row r="202" spans="1:26" ht="13.5" thickBot="1" x14ac:dyDescent="0.25">
      <c r="A202" s="141">
        <v>50</v>
      </c>
      <c r="B202" s="228" t="s">
        <v>71</v>
      </c>
      <c r="C202" s="198"/>
      <c r="D202" s="58">
        <v>0</v>
      </c>
      <c r="E202" s="118"/>
      <c r="F202" s="58"/>
      <c r="G202" s="58"/>
      <c r="H202" s="59"/>
      <c r="I202" s="58"/>
      <c r="J202" s="58"/>
      <c r="K202" s="118"/>
      <c r="L202" s="60"/>
      <c r="M202" s="58"/>
      <c r="N202" s="59"/>
      <c r="O202" s="104"/>
      <c r="P202" s="58"/>
      <c r="Q202" s="118"/>
      <c r="R202" s="60"/>
      <c r="S202" s="58"/>
      <c r="T202" s="59"/>
      <c r="U202" s="104">
        <f t="shared" si="251"/>
        <v>0</v>
      </c>
      <c r="V202" s="59">
        <f t="shared" si="251"/>
        <v>0</v>
      </c>
      <c r="W202" s="152"/>
    </row>
    <row r="203" spans="1:26" ht="16.5" customHeight="1" thickBot="1" x14ac:dyDescent="0.25">
      <c r="A203" s="259" t="s">
        <v>72</v>
      </c>
      <c r="B203" s="260"/>
      <c r="C203" s="260"/>
      <c r="D203" s="260"/>
      <c r="E203" s="260"/>
      <c r="F203" s="260"/>
      <c r="G203" s="260"/>
      <c r="H203" s="260"/>
      <c r="I203" s="260"/>
      <c r="J203" s="260"/>
      <c r="K203" s="260"/>
      <c r="L203" s="260"/>
      <c r="M203" s="260"/>
      <c r="N203" s="260"/>
      <c r="O203" s="260"/>
      <c r="P203" s="260"/>
      <c r="Q203" s="260"/>
      <c r="R203" s="260"/>
      <c r="S203" s="260"/>
      <c r="T203" s="260"/>
      <c r="U203" s="260"/>
      <c r="V203" s="260"/>
      <c r="W203" s="261"/>
      <c r="X203" s="119"/>
      <c r="Y203" s="119"/>
      <c r="Z203" s="119"/>
    </row>
    <row r="204" spans="1:26" ht="13.5" thickBot="1" x14ac:dyDescent="0.25">
      <c r="A204" s="255">
        <v>51</v>
      </c>
      <c r="B204" s="49" t="s">
        <v>88</v>
      </c>
      <c r="C204" s="55">
        <f>SUM(C205:C207)</f>
        <v>16165</v>
      </c>
      <c r="D204" s="51">
        <f>SUM(D205:D207)</f>
        <v>0</v>
      </c>
      <c r="E204" s="52">
        <f>C204+D204</f>
        <v>16165</v>
      </c>
      <c r="F204" s="50">
        <f>SUM(F205:F207)</f>
        <v>15958.178</v>
      </c>
      <c r="G204" s="51">
        <f>SUM(G205:G207)</f>
        <v>170.9999999999992</v>
      </c>
      <c r="H204" s="52">
        <f>F204+G204</f>
        <v>16129.178</v>
      </c>
      <c r="I204" s="51">
        <f>SUM(I205:I207)</f>
        <v>20044.713900000002</v>
      </c>
      <c r="J204" s="51">
        <f>SUM(J205:J207)</f>
        <v>232.81699999999989</v>
      </c>
      <c r="K204" s="52">
        <f>I204+J204</f>
        <v>20277.530900000002</v>
      </c>
      <c r="L204" s="50">
        <f>L205+L206+L207</f>
        <v>23097.7</v>
      </c>
      <c r="M204" s="51">
        <f>M205+M206</f>
        <v>0</v>
      </c>
      <c r="N204" s="53">
        <f>L204+M204</f>
        <v>23097.7</v>
      </c>
      <c r="O204" s="55">
        <f>O205+O206+O207</f>
        <v>25875.9</v>
      </c>
      <c r="P204" s="51">
        <f>P205+P206</f>
        <v>0</v>
      </c>
      <c r="Q204" s="52">
        <f>O204+P204</f>
        <v>25875.9</v>
      </c>
      <c r="R204" s="50">
        <f>R205+R206+R207</f>
        <v>28945</v>
      </c>
      <c r="S204" s="51">
        <f>S205+S206</f>
        <v>0</v>
      </c>
      <c r="T204" s="53">
        <f>R204+S204</f>
        <v>28945</v>
      </c>
      <c r="U204" s="54">
        <f t="shared" ref="U204:V206" si="252">D204+G204+J204+M204+P204+S204</f>
        <v>403.8169999999991</v>
      </c>
      <c r="V204" s="81">
        <f t="shared" si="252"/>
        <v>130490.3089</v>
      </c>
      <c r="W204" s="153"/>
      <c r="X204" s="119"/>
      <c r="Y204" s="119"/>
      <c r="Z204" s="119"/>
    </row>
    <row r="205" spans="1:26" ht="17.25" customHeight="1" x14ac:dyDescent="0.2">
      <c r="A205" s="254"/>
      <c r="B205" s="61" t="s">
        <v>163</v>
      </c>
      <c r="C205" s="42">
        <v>8992.5</v>
      </c>
      <c r="D205" s="87"/>
      <c r="E205" s="43">
        <f>C205+D205</f>
        <v>8992.5</v>
      </c>
      <c r="F205" s="86">
        <v>8061.4483</v>
      </c>
      <c r="G205" s="87">
        <v>164.51939999999922</v>
      </c>
      <c r="H205" s="43">
        <f>F205+G205</f>
        <v>8225.9676999999992</v>
      </c>
      <c r="I205" s="87">
        <v>11259.7273</v>
      </c>
      <c r="J205" s="87">
        <v>223.8726999999999</v>
      </c>
      <c r="K205" s="43">
        <f>I205+J205</f>
        <v>11483.6</v>
      </c>
      <c r="L205" s="86">
        <v>13606.4</v>
      </c>
      <c r="M205" s="87"/>
      <c r="N205" s="72">
        <f t="shared" ref="N205:N206" si="253">L205+M205</f>
        <v>13606.4</v>
      </c>
      <c r="O205" s="42">
        <v>15888.1</v>
      </c>
      <c r="P205" s="87"/>
      <c r="Q205" s="43">
        <f t="shared" ref="Q205:Q207" si="254">O205+P205</f>
        <v>15888.1</v>
      </c>
      <c r="R205" s="86">
        <v>18450</v>
      </c>
      <c r="S205" s="87"/>
      <c r="T205" s="72">
        <f t="shared" ref="T205:T207" si="255">R205+S205</f>
        <v>18450</v>
      </c>
      <c r="U205" s="42">
        <f t="shared" si="252"/>
        <v>388.39209999999912</v>
      </c>
      <c r="V205" s="43">
        <f t="shared" si="252"/>
        <v>76646.5677</v>
      </c>
      <c r="W205" s="65"/>
    </row>
    <row r="206" spans="1:26" ht="15.75" customHeight="1" x14ac:dyDescent="0.2">
      <c r="A206" s="254"/>
      <c r="B206" s="26" t="s">
        <v>94</v>
      </c>
      <c r="C206" s="10">
        <v>0</v>
      </c>
      <c r="D206" s="9"/>
      <c r="E206" s="11">
        <f>C206+D206</f>
        <v>0</v>
      </c>
      <c r="F206" s="92">
        <v>317.55180000000001</v>
      </c>
      <c r="G206" s="9">
        <v>6.4805999999999813</v>
      </c>
      <c r="H206" s="11">
        <f>F206+G206</f>
        <v>324.0324</v>
      </c>
      <c r="I206" s="9">
        <v>449.85570000000001</v>
      </c>
      <c r="J206" s="9">
        <v>8.9442999999999984</v>
      </c>
      <c r="K206" s="11">
        <f>I206+J206</f>
        <v>458.8</v>
      </c>
      <c r="L206" s="92">
        <v>553.6</v>
      </c>
      <c r="M206" s="9"/>
      <c r="N206" s="74">
        <f t="shared" si="253"/>
        <v>553.6</v>
      </c>
      <c r="O206" s="10">
        <v>653.1</v>
      </c>
      <c r="P206" s="9"/>
      <c r="Q206" s="11">
        <f t="shared" si="254"/>
        <v>653.1</v>
      </c>
      <c r="R206" s="92">
        <v>766.9</v>
      </c>
      <c r="S206" s="9"/>
      <c r="T206" s="74">
        <f t="shared" si="255"/>
        <v>766.9</v>
      </c>
      <c r="U206" s="10">
        <f t="shared" si="252"/>
        <v>15.42489999999998</v>
      </c>
      <c r="V206" s="11">
        <f t="shared" si="252"/>
        <v>2756.4324000000001</v>
      </c>
      <c r="W206" s="39"/>
    </row>
    <row r="207" spans="1:26" ht="15.75" customHeight="1" thickBot="1" x14ac:dyDescent="0.25">
      <c r="A207" s="277"/>
      <c r="B207" s="27" t="s">
        <v>162</v>
      </c>
      <c r="C207" s="60">
        <v>7172.5</v>
      </c>
      <c r="D207" s="58"/>
      <c r="E207" s="59"/>
      <c r="F207" s="104">
        <v>7579.1779000000006</v>
      </c>
      <c r="G207" s="58"/>
      <c r="H207" s="59"/>
      <c r="I207" s="60">
        <v>8335.1309000000001</v>
      </c>
      <c r="J207" s="58"/>
      <c r="K207" s="59"/>
      <c r="L207" s="104">
        <v>8937.7000000000007</v>
      </c>
      <c r="M207" s="58"/>
      <c r="N207" s="118"/>
      <c r="O207" s="60">
        <v>9334.7000000000007</v>
      </c>
      <c r="P207" s="58"/>
      <c r="Q207" s="59">
        <f t="shared" si="254"/>
        <v>9334.7000000000007</v>
      </c>
      <c r="R207" s="104">
        <v>9728.1</v>
      </c>
      <c r="S207" s="58"/>
      <c r="T207" s="118">
        <f t="shared" si="255"/>
        <v>9728.1</v>
      </c>
      <c r="U207" s="60">
        <f t="shared" ref="U207" si="256">D207+G207+J207+M207+P207+S207</f>
        <v>0</v>
      </c>
      <c r="V207" s="59">
        <f t="shared" ref="V207" si="257">E207+H207+K207+N207+Q207+T207</f>
        <v>19062.800000000003</v>
      </c>
      <c r="W207" s="105"/>
    </row>
    <row r="208" spans="1:26" ht="17.25" customHeight="1" thickBot="1" x14ac:dyDescent="0.25">
      <c r="A208" s="259" t="s">
        <v>73</v>
      </c>
      <c r="B208" s="260"/>
      <c r="C208" s="260"/>
      <c r="D208" s="260"/>
      <c r="E208" s="260"/>
      <c r="F208" s="260"/>
      <c r="G208" s="260"/>
      <c r="H208" s="260"/>
      <c r="I208" s="260"/>
      <c r="J208" s="260"/>
      <c r="K208" s="260"/>
      <c r="L208" s="260"/>
      <c r="M208" s="260"/>
      <c r="N208" s="260"/>
      <c r="O208" s="260"/>
      <c r="P208" s="260"/>
      <c r="Q208" s="260"/>
      <c r="R208" s="260"/>
      <c r="S208" s="260"/>
      <c r="T208" s="260"/>
      <c r="U208" s="260"/>
      <c r="V208" s="260"/>
      <c r="W208" s="261"/>
      <c r="X208" s="119"/>
      <c r="Y208" s="119"/>
      <c r="Z208" s="119"/>
    </row>
    <row r="209" spans="1:27" ht="58.5" customHeight="1" thickBot="1" x14ac:dyDescent="0.25">
      <c r="A209" s="163">
        <v>52</v>
      </c>
      <c r="B209" s="49" t="s">
        <v>88</v>
      </c>
      <c r="C209" s="50">
        <v>8317.6865999999991</v>
      </c>
      <c r="D209" s="51">
        <v>1600</v>
      </c>
      <c r="E209" s="52">
        <f>C209+D209</f>
        <v>9917.6865999999991</v>
      </c>
      <c r="F209" s="55">
        <v>8742.3624</v>
      </c>
      <c r="G209" s="51">
        <v>1278.4000000000001</v>
      </c>
      <c r="H209" s="52">
        <f>F209+G209</f>
        <v>10020.7624</v>
      </c>
      <c r="I209" s="50">
        <v>11276.5149</v>
      </c>
      <c r="J209" s="51">
        <v>1324.2</v>
      </c>
      <c r="K209" s="52">
        <f>I209+J209</f>
        <v>12600.714900000001</v>
      </c>
      <c r="L209" s="55">
        <v>12433.305</v>
      </c>
      <c r="M209" s="51">
        <v>2032.58</v>
      </c>
      <c r="N209" s="52">
        <f>L209+M209</f>
        <v>14465.885</v>
      </c>
      <c r="O209" s="55">
        <v>12950.42</v>
      </c>
      <c r="P209" s="51">
        <v>1100</v>
      </c>
      <c r="Q209" s="52">
        <f>O209+P209</f>
        <v>14050.42</v>
      </c>
      <c r="R209" s="55">
        <v>13274.206</v>
      </c>
      <c r="S209" s="51">
        <v>1100</v>
      </c>
      <c r="T209" s="52">
        <f>R209+S209</f>
        <v>14374.206</v>
      </c>
      <c r="U209" s="54">
        <f>D209+G209+J209+M209+P209+S209</f>
        <v>8435.18</v>
      </c>
      <c r="V209" s="81">
        <f>E209+H209+K209+N209+Q209+T209</f>
        <v>75429.674899999998</v>
      </c>
      <c r="W209" s="82" t="s">
        <v>124</v>
      </c>
      <c r="X209" s="119"/>
      <c r="Y209" s="119"/>
      <c r="Z209" s="119"/>
      <c r="AA209" s="36"/>
    </row>
    <row r="210" spans="1:27" x14ac:dyDescent="0.2">
      <c r="A210" s="164"/>
      <c r="B210" s="31" t="s">
        <v>173</v>
      </c>
    </row>
    <row r="211" spans="1:27" x14ac:dyDescent="0.2">
      <c r="A211" s="241"/>
      <c r="B211" s="31" t="s">
        <v>174</v>
      </c>
    </row>
    <row r="212" spans="1:27" ht="15" customHeight="1" x14ac:dyDescent="0.2">
      <c r="C212" s="165"/>
      <c r="D212" s="165"/>
      <c r="E212" s="165"/>
      <c r="F212" s="165"/>
      <c r="G212" s="165"/>
      <c r="H212" s="165"/>
      <c r="I212" s="165"/>
      <c r="J212" s="165"/>
      <c r="K212" s="165"/>
      <c r="L212" s="165"/>
      <c r="M212" s="165"/>
      <c r="N212" s="165"/>
      <c r="O212" s="165"/>
      <c r="P212" s="165"/>
      <c r="Q212" s="165"/>
      <c r="R212" s="165"/>
    </row>
    <row r="213" spans="1:27" hidden="1" x14ac:dyDescent="0.2">
      <c r="C213" s="166" t="s">
        <v>85</v>
      </c>
      <c r="D213" s="166" t="s">
        <v>86</v>
      </c>
      <c r="E213" s="166" t="s">
        <v>87</v>
      </c>
      <c r="F213" s="166" t="s">
        <v>100</v>
      </c>
      <c r="G213" s="166" t="s">
        <v>101</v>
      </c>
      <c r="H213" s="166" t="s">
        <v>102</v>
      </c>
    </row>
    <row r="214" spans="1:27" ht="15" hidden="1" customHeight="1" x14ac:dyDescent="0.2">
      <c r="B214" s="164" t="s">
        <v>105</v>
      </c>
      <c r="C214" s="167">
        <f>E10+E9+E8</f>
        <v>240311.95159999997</v>
      </c>
      <c r="D214" s="168">
        <f>H10+H9+H8</f>
        <v>250490.48570000002</v>
      </c>
      <c r="E214" s="168">
        <f>K10+K9+K8</f>
        <v>292101.18270250002</v>
      </c>
      <c r="F214" s="168">
        <f>N10+N9+N8</f>
        <v>315090.38466500002</v>
      </c>
      <c r="G214" s="168">
        <f>Q10+Q9+Q8</f>
        <v>328440.47755499999</v>
      </c>
      <c r="H214" s="168">
        <f>T8+T9+T10</f>
        <v>340635.45539500006</v>
      </c>
      <c r="I214" s="168"/>
      <c r="J214" s="168"/>
      <c r="K214" s="168"/>
      <c r="L214" s="168"/>
      <c r="M214" s="168"/>
      <c r="N214" s="168"/>
      <c r="O214" s="168"/>
      <c r="P214" s="168"/>
      <c r="Q214" s="168"/>
      <c r="R214" s="168"/>
      <c r="S214" s="169"/>
      <c r="T214" s="169"/>
    </row>
    <row r="215" spans="1:27" hidden="1" x14ac:dyDescent="0.2">
      <c r="B215" s="164" t="s">
        <v>106</v>
      </c>
      <c r="D215" s="166"/>
      <c r="E215" s="166"/>
      <c r="F215" s="166"/>
      <c r="G215" s="166"/>
      <c r="H215" s="166"/>
      <c r="I215" s="166"/>
      <c r="J215" s="166"/>
      <c r="K215" s="166"/>
      <c r="L215" s="166"/>
      <c r="M215" s="166"/>
      <c r="N215" s="166"/>
      <c r="O215" s="166"/>
      <c r="P215" s="166"/>
      <c r="Q215" s="166"/>
      <c r="R215" s="166"/>
      <c r="S215" s="166"/>
      <c r="T215" s="166"/>
    </row>
    <row r="216" spans="1:27" ht="25.5" hidden="1" x14ac:dyDescent="0.2">
      <c r="B216" s="32" t="s">
        <v>32</v>
      </c>
      <c r="C216" s="168">
        <v>1433.9</v>
      </c>
      <c r="D216" s="168">
        <v>1433.9</v>
      </c>
      <c r="E216" s="168">
        <v>1659.3</v>
      </c>
      <c r="F216" s="168">
        <v>1737.4</v>
      </c>
      <c r="G216" s="168">
        <v>1820.8</v>
      </c>
      <c r="H216" s="168">
        <v>1901</v>
      </c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X216" s="31"/>
    </row>
    <row r="217" spans="1:27" ht="38.25" hidden="1" x14ac:dyDescent="0.2">
      <c r="B217" s="229" t="s">
        <v>65</v>
      </c>
      <c r="C217" s="168"/>
      <c r="D217" s="168"/>
      <c r="E217" s="168">
        <v>430.36520000000002</v>
      </c>
      <c r="F217" s="168">
        <v>302.01549999999997</v>
      </c>
      <c r="G217" s="168">
        <v>478.43040000000002</v>
      </c>
      <c r="H217" s="168">
        <v>345.05349999999999</v>
      </c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X217" s="31"/>
    </row>
    <row r="218" spans="1:27" hidden="1" x14ac:dyDescent="0.2">
      <c r="B218" s="229" t="s">
        <v>20</v>
      </c>
      <c r="C218" s="168"/>
      <c r="D218" s="168"/>
      <c r="E218" s="168">
        <v>117.9</v>
      </c>
      <c r="F218" s="168">
        <v>123.3</v>
      </c>
      <c r="G218" s="168"/>
      <c r="H218" s="168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X218" s="31"/>
    </row>
    <row r="219" spans="1:27" hidden="1" x14ac:dyDescent="0.2">
      <c r="C219" s="30">
        <f>C214-C216-C218</f>
        <v>238878.05159999998</v>
      </c>
      <c r="D219" s="30">
        <f t="shared" ref="D219" si="258">D214-D216-D218</f>
        <v>249056.58570000003</v>
      </c>
      <c r="E219" s="30">
        <f>E214-E216-E217-E218</f>
        <v>289893.61750250001</v>
      </c>
      <c r="F219" s="30">
        <f t="shared" ref="F219:H219" si="259">F214-F216-F217-F218</f>
        <v>312927.66916500003</v>
      </c>
      <c r="G219" s="30">
        <f t="shared" si="259"/>
        <v>326141.24715499999</v>
      </c>
      <c r="H219" s="30">
        <f t="shared" si="259"/>
        <v>338389.40189500008</v>
      </c>
      <c r="X219" s="31"/>
    </row>
    <row r="220" spans="1:27" hidden="1" x14ac:dyDescent="0.2">
      <c r="X220" s="31"/>
    </row>
    <row r="221" spans="1:27" hidden="1" x14ac:dyDescent="0.2">
      <c r="B221" s="291" t="s">
        <v>115</v>
      </c>
      <c r="C221" s="291"/>
      <c r="D221" s="291"/>
      <c r="E221" s="291"/>
      <c r="F221" s="291"/>
      <c r="G221" s="291"/>
      <c r="H221" s="291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X221" s="31"/>
    </row>
    <row r="222" spans="1:27" hidden="1" x14ac:dyDescent="0.2">
      <c r="B222" s="170" t="s">
        <v>88</v>
      </c>
      <c r="C222" s="169">
        <f>C224+C226+C227+C228+C229+C231</f>
        <v>150531.09999999998</v>
      </c>
      <c r="D222" s="169">
        <f t="shared" ref="D222:H222" si="260">D224+D226+D227+D228+D229+D231</f>
        <v>162055.06</v>
      </c>
      <c r="E222" s="169">
        <f t="shared" si="260"/>
        <v>164723.59999999998</v>
      </c>
      <c r="F222" s="169">
        <f t="shared" si="260"/>
        <v>171508.2</v>
      </c>
      <c r="G222" s="169">
        <f t="shared" si="260"/>
        <v>180660.8</v>
      </c>
      <c r="H222" s="169">
        <f t="shared" si="260"/>
        <v>196291.3</v>
      </c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X222" s="31"/>
    </row>
    <row r="223" spans="1:27" ht="13.5" hidden="1" x14ac:dyDescent="0.25">
      <c r="B223" s="171" t="s">
        <v>116</v>
      </c>
      <c r="C223" s="169"/>
      <c r="D223" s="169"/>
      <c r="E223" s="169"/>
      <c r="F223" s="169"/>
      <c r="G223" s="169"/>
      <c r="H223" s="169"/>
      <c r="X223" s="31"/>
    </row>
    <row r="224" spans="1:27" hidden="1" x14ac:dyDescent="0.2">
      <c r="B224" s="17" t="s">
        <v>114</v>
      </c>
      <c r="C224" s="169">
        <v>355.6</v>
      </c>
      <c r="D224" s="169">
        <v>664.6</v>
      </c>
      <c r="E224" s="169">
        <v>927</v>
      </c>
      <c r="F224" s="169">
        <v>1142.7</v>
      </c>
      <c r="G224" s="169">
        <v>1311.8</v>
      </c>
      <c r="H224" s="169">
        <v>1434.2</v>
      </c>
      <c r="X224" s="31"/>
    </row>
    <row r="225" spans="2:24" ht="13.5" hidden="1" x14ac:dyDescent="0.25">
      <c r="B225" s="172" t="s">
        <v>109</v>
      </c>
      <c r="C225" s="169"/>
      <c r="D225" s="169"/>
      <c r="E225" s="169"/>
      <c r="F225" s="169"/>
      <c r="G225" s="169"/>
      <c r="H225" s="169"/>
      <c r="X225" s="31"/>
    </row>
    <row r="226" spans="2:24" hidden="1" x14ac:dyDescent="0.2">
      <c r="B226" s="31" t="s">
        <v>110</v>
      </c>
      <c r="C226" s="169">
        <v>50989</v>
      </c>
      <c r="D226" s="169">
        <v>55841.760000000002</v>
      </c>
      <c r="E226" s="169">
        <v>61453</v>
      </c>
      <c r="F226" s="169">
        <v>67354</v>
      </c>
      <c r="G226" s="169">
        <v>73521.600000000006</v>
      </c>
      <c r="H226" s="169">
        <v>80984.2</v>
      </c>
      <c r="X226" s="31"/>
    </row>
    <row r="227" spans="2:24" hidden="1" x14ac:dyDescent="0.2">
      <c r="B227" s="31" t="s">
        <v>111</v>
      </c>
      <c r="C227" s="169">
        <v>11483.6</v>
      </c>
      <c r="D227" s="169">
        <v>11107</v>
      </c>
      <c r="E227" s="169">
        <v>10768.2</v>
      </c>
      <c r="F227" s="169">
        <v>10462.5</v>
      </c>
      <c r="G227" s="169">
        <v>10287.4</v>
      </c>
      <c r="H227" s="169">
        <v>10111.200000000001</v>
      </c>
      <c r="X227" s="31"/>
    </row>
    <row r="228" spans="2:24" hidden="1" x14ac:dyDescent="0.2">
      <c r="B228" s="31" t="s">
        <v>112</v>
      </c>
      <c r="C228" s="169">
        <v>2270</v>
      </c>
      <c r="D228" s="169">
        <v>3170</v>
      </c>
      <c r="E228" s="169">
        <v>3710</v>
      </c>
      <c r="F228" s="169">
        <v>3980</v>
      </c>
      <c r="G228" s="169">
        <v>3980</v>
      </c>
      <c r="H228" s="169">
        <v>5880</v>
      </c>
      <c r="X228" s="31"/>
    </row>
    <row r="229" spans="2:24" hidden="1" x14ac:dyDescent="0.2">
      <c r="B229" s="31" t="s">
        <v>113</v>
      </c>
      <c r="C229" s="169">
        <v>5122.8999999999996</v>
      </c>
      <c r="D229" s="169">
        <v>5421.7</v>
      </c>
      <c r="E229" s="169">
        <v>5715.4</v>
      </c>
      <c r="F229" s="169">
        <v>5999</v>
      </c>
      <c r="G229" s="169">
        <v>6250</v>
      </c>
      <c r="H229" s="169">
        <v>6481.7</v>
      </c>
      <c r="X229" s="31"/>
    </row>
    <row r="230" spans="2:24" ht="13.5" hidden="1" x14ac:dyDescent="0.25">
      <c r="B230" s="172" t="s">
        <v>117</v>
      </c>
      <c r="X230" s="31"/>
    </row>
    <row r="231" spans="2:24" hidden="1" x14ac:dyDescent="0.2">
      <c r="B231" s="31" t="s">
        <v>118</v>
      </c>
      <c r="C231" s="166">
        <v>80310</v>
      </c>
      <c r="D231" s="166">
        <v>85850</v>
      </c>
      <c r="E231" s="166">
        <v>82150</v>
      </c>
      <c r="F231" s="166">
        <v>82570</v>
      </c>
      <c r="G231" s="166">
        <v>85310</v>
      </c>
      <c r="H231" s="166">
        <v>91400</v>
      </c>
      <c r="X231" s="31"/>
    </row>
    <row r="232" spans="2:24" hidden="1" x14ac:dyDescent="0.2">
      <c r="X232" s="31"/>
    </row>
    <row r="233" spans="2:24" hidden="1" x14ac:dyDescent="0.2">
      <c r="X233" s="31"/>
    </row>
    <row r="234" spans="2:24" hidden="1" x14ac:dyDescent="0.2">
      <c r="X234" s="31"/>
    </row>
    <row r="235" spans="2:24" hidden="1" x14ac:dyDescent="0.2">
      <c r="X235" s="31"/>
    </row>
    <row r="236" spans="2:24" hidden="1" x14ac:dyDescent="0.2">
      <c r="X236" s="31"/>
    </row>
    <row r="237" spans="2:24" hidden="1" x14ac:dyDescent="0.2">
      <c r="X237" s="31"/>
    </row>
    <row r="238" spans="2:24" hidden="1" x14ac:dyDescent="0.2">
      <c r="X238" s="31"/>
    </row>
    <row r="239" spans="2:24" x14ac:dyDescent="0.2">
      <c r="F239" s="30"/>
    </row>
    <row r="241" spans="6:6" x14ac:dyDescent="0.2">
      <c r="F241" s="30"/>
    </row>
  </sheetData>
  <mergeCells count="78">
    <mergeCell ref="B221:H221"/>
    <mergeCell ref="A188:A193"/>
    <mergeCell ref="A204:A207"/>
    <mergeCell ref="A203:W203"/>
    <mergeCell ref="A208:W208"/>
    <mergeCell ref="A196:W196"/>
    <mergeCell ref="A199:W199"/>
    <mergeCell ref="A146:A148"/>
    <mergeCell ref="A151:A154"/>
    <mergeCell ref="A155:A157"/>
    <mergeCell ref="A158:A160"/>
    <mergeCell ref="A167:A171"/>
    <mergeCell ref="A141:A144"/>
    <mergeCell ref="A95:A97"/>
    <mergeCell ref="A98:A100"/>
    <mergeCell ref="A115:A117"/>
    <mergeCell ref="A120:W120"/>
    <mergeCell ref="A139:W139"/>
    <mergeCell ref="A132:A134"/>
    <mergeCell ref="A135:A138"/>
    <mergeCell ref="A101:A104"/>
    <mergeCell ref="A105:A108"/>
    <mergeCell ref="A122:A124"/>
    <mergeCell ref="A126:A128"/>
    <mergeCell ref="A129:A131"/>
    <mergeCell ref="A112:A114"/>
    <mergeCell ref="A109:W109"/>
    <mergeCell ref="A110:A111"/>
    <mergeCell ref="W79:W80"/>
    <mergeCell ref="A82:A85"/>
    <mergeCell ref="A86:A88"/>
    <mergeCell ref="A92:A94"/>
    <mergeCell ref="A78:A81"/>
    <mergeCell ref="A89:W89"/>
    <mergeCell ref="A90:A91"/>
    <mergeCell ref="A73:A77"/>
    <mergeCell ref="A41:A43"/>
    <mergeCell ref="X41:X43"/>
    <mergeCell ref="A46:A49"/>
    <mergeCell ref="A50:A54"/>
    <mergeCell ref="A56:A58"/>
    <mergeCell ref="A60:A62"/>
    <mergeCell ref="A63:A65"/>
    <mergeCell ref="A66:A68"/>
    <mergeCell ref="A69:A72"/>
    <mergeCell ref="A44:W44"/>
    <mergeCell ref="A55:W55"/>
    <mergeCell ref="R3:T3"/>
    <mergeCell ref="A37:A40"/>
    <mergeCell ref="U3:V3"/>
    <mergeCell ref="W3:W4"/>
    <mergeCell ref="X3:X4"/>
    <mergeCell ref="A15:A17"/>
    <mergeCell ref="A18:A24"/>
    <mergeCell ref="A26:A29"/>
    <mergeCell ref="A30:A33"/>
    <mergeCell ref="A34:A36"/>
    <mergeCell ref="W34:W36"/>
    <mergeCell ref="X37:X39"/>
    <mergeCell ref="X34:X36"/>
    <mergeCell ref="A5:A11"/>
    <mergeCell ref="A13:W13"/>
    <mergeCell ref="A183:A185"/>
    <mergeCell ref="A172:A175"/>
    <mergeCell ref="A176:A178"/>
    <mergeCell ref="A179:A181"/>
    <mergeCell ref="A1:W1"/>
    <mergeCell ref="B3:B4"/>
    <mergeCell ref="A149:W149"/>
    <mergeCell ref="A163:W163"/>
    <mergeCell ref="A182:W182"/>
    <mergeCell ref="U2:V2"/>
    <mergeCell ref="A3:A4"/>
    <mergeCell ref="C3:E3"/>
    <mergeCell ref="F3:H3"/>
    <mergeCell ref="I3:K3"/>
    <mergeCell ref="L3:N3"/>
    <mergeCell ref="O3:Q3"/>
  </mergeCells>
  <pageMargins left="0.23622047244094491" right="0.23622047244094491" top="0.74803149606299213" bottom="0.74803149606299213" header="0.31496062992125984" footer="0.31496062992125984"/>
  <pageSetup paperSize="8" scale="57" orientation="landscape" horizontalDpi="300" verticalDpi="300" r:id="rId1"/>
  <headerFooter>
    <oddHeader>&amp;C&amp;"Times New Roman,обычный"&amp;D</oddHeader>
    <oddFooter>&amp;C&amp;"Times New Roman,обычный"&amp;P</oddFooter>
  </headerFooter>
  <colBreaks count="1" manualBreakCount="1">
    <brk id="2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Коррек Куценко АА</vt:lpstr>
      <vt:lpstr>'Коррек Куценко АА'!Заголовки_для_печати</vt:lpstr>
      <vt:lpstr>'Коррек Куценко АА'!Область_печати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Прусаков Андрей Юрьевич</dc:creator>
  <cp:lastModifiedBy>user1</cp:lastModifiedBy>
  <cp:lastPrinted>2014-09-24T10:02:00Z</cp:lastPrinted>
  <dcterms:created xsi:type="dcterms:W3CDTF">2014-08-14T12:43:49Z</dcterms:created>
  <dcterms:modified xsi:type="dcterms:W3CDTF">2014-09-24T14:05:53Z</dcterms:modified>
</cp:coreProperties>
</file>